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17235" windowHeight="8250" activeTab="1"/>
  </bookViews>
  <sheets>
    <sheet name="Database Export" sheetId="4" r:id="rId1"/>
    <sheet name="Narrative" sheetId="3" r:id="rId2"/>
    <sheet name="Analysis" sheetId="2" r:id="rId3"/>
    <sheet name="Incentives" sheetId="10" r:id="rId4"/>
    <sheet name="P-T Table" sheetId="8" r:id="rId5"/>
  </sheets>
  <externalReferences>
    <externalReference r:id="rId6"/>
  </externalReferences>
  <definedNames>
    <definedName name="_xlnm.Print_Area" localSheetId="2">Analysis!$A$1:$AD$46</definedName>
    <definedName name="_xlnm.Print_Area" localSheetId="3">Incentives!$A$1:$E$60</definedName>
    <definedName name="_xlnm.Print_Area" localSheetId="1">Narrative!$A$1:$AF$93</definedName>
    <definedName name="_xlnm.Print_Titles" localSheetId="3">Incentives!$1:$2</definedName>
    <definedName name="_xlnm.Print_Titles" localSheetId="1">Narrative!$1:$2</definedName>
  </definedNames>
  <calcPr calcId="152511" iterate="1" concurrentCalc="0"/>
</workbook>
</file>

<file path=xl/calcChain.xml><?xml version="1.0" encoding="utf-8"?>
<calcChain xmlns="http://schemas.openxmlformats.org/spreadsheetml/2006/main">
  <c r="X3" i="4" l="1"/>
  <c r="K11" i="8"/>
  <c r="C11" i="2"/>
  <c r="M11" i="8"/>
  <c r="C29" i="2"/>
  <c r="C34" i="2"/>
  <c r="Z19" i="2"/>
  <c r="AB19" i="2"/>
  <c r="Z20" i="2"/>
  <c r="AB20" i="2"/>
  <c r="Z21" i="2"/>
  <c r="AB21" i="2"/>
  <c r="Z22" i="2"/>
  <c r="AB22" i="2"/>
  <c r="Z23" i="2"/>
  <c r="AB23" i="2"/>
  <c r="Z24" i="2"/>
  <c r="AB24" i="2"/>
  <c r="Z25" i="2"/>
  <c r="AB25" i="2"/>
  <c r="Z26" i="2"/>
  <c r="AB26" i="2"/>
  <c r="Z27" i="2"/>
  <c r="AB27" i="2"/>
  <c r="Z28" i="2"/>
  <c r="AB28" i="2"/>
  <c r="Z29" i="2"/>
  <c r="AB29" i="2"/>
  <c r="Z30" i="2"/>
  <c r="AB30" i="2"/>
  <c r="Z31" i="2"/>
  <c r="AB31" i="2"/>
  <c r="Z32" i="2"/>
  <c r="AB32" i="2"/>
  <c r="Z33" i="2"/>
  <c r="AB33" i="2"/>
  <c r="Z34" i="2"/>
  <c r="AB34" i="2"/>
  <c r="Z35" i="2"/>
  <c r="AB35" i="2"/>
  <c r="Z36" i="2"/>
  <c r="AB36" i="2"/>
  <c r="Z37" i="2"/>
  <c r="AB37" i="2"/>
  <c r="Z38" i="2"/>
  <c r="AB38" i="2"/>
  <c r="Z39" i="2"/>
  <c r="AB39" i="2"/>
  <c r="Z40" i="2"/>
  <c r="AB40" i="2"/>
  <c r="Z41" i="2"/>
  <c r="AB41" i="2"/>
  <c r="Z42" i="2"/>
  <c r="AB42" i="2"/>
  <c r="Z43" i="2"/>
  <c r="AB43" i="2"/>
  <c r="AB44" i="2"/>
  <c r="J6" i="2"/>
  <c r="J7" i="2"/>
  <c r="R19" i="2"/>
  <c r="L11" i="8"/>
  <c r="C18" i="2"/>
  <c r="S19" i="2"/>
  <c r="T19" i="2"/>
  <c r="U19" i="2"/>
  <c r="V19" i="2"/>
  <c r="R20" i="2"/>
  <c r="S20" i="2"/>
  <c r="T20" i="2"/>
  <c r="U20" i="2"/>
  <c r="V20" i="2"/>
  <c r="R21" i="2"/>
  <c r="S21" i="2"/>
  <c r="T21" i="2"/>
  <c r="U21" i="2"/>
  <c r="V21" i="2"/>
  <c r="R22" i="2"/>
  <c r="S22" i="2"/>
  <c r="T22" i="2"/>
  <c r="U22" i="2"/>
  <c r="V22" i="2"/>
  <c r="R23" i="2"/>
  <c r="S23" i="2"/>
  <c r="T23" i="2"/>
  <c r="U23" i="2"/>
  <c r="V23" i="2"/>
  <c r="R24" i="2"/>
  <c r="S24" i="2"/>
  <c r="T24" i="2"/>
  <c r="U24" i="2"/>
  <c r="V24" i="2"/>
  <c r="R25" i="2"/>
  <c r="S25" i="2"/>
  <c r="T25" i="2"/>
  <c r="U25" i="2"/>
  <c r="V25" i="2"/>
  <c r="R26" i="2"/>
  <c r="S26" i="2"/>
  <c r="T26" i="2"/>
  <c r="U26" i="2"/>
  <c r="V26" i="2"/>
  <c r="R27" i="2"/>
  <c r="S27" i="2"/>
  <c r="T27" i="2"/>
  <c r="U27" i="2"/>
  <c r="V27" i="2"/>
  <c r="R28" i="2"/>
  <c r="S28" i="2"/>
  <c r="T28" i="2"/>
  <c r="U28" i="2"/>
  <c r="V28" i="2"/>
  <c r="R29" i="2"/>
  <c r="S29" i="2"/>
  <c r="T29" i="2"/>
  <c r="U29" i="2"/>
  <c r="V29" i="2"/>
  <c r="R30" i="2"/>
  <c r="S30" i="2"/>
  <c r="T30" i="2"/>
  <c r="U30" i="2"/>
  <c r="V30" i="2"/>
  <c r="R31" i="2"/>
  <c r="S31" i="2"/>
  <c r="T31" i="2"/>
  <c r="U31" i="2"/>
  <c r="V31" i="2"/>
  <c r="R32" i="2"/>
  <c r="S32" i="2"/>
  <c r="T32" i="2"/>
  <c r="U32" i="2"/>
  <c r="V32" i="2"/>
  <c r="R33" i="2"/>
  <c r="S33" i="2"/>
  <c r="T33" i="2"/>
  <c r="U33" i="2"/>
  <c r="V33" i="2"/>
  <c r="R34" i="2"/>
  <c r="S34" i="2"/>
  <c r="T34" i="2"/>
  <c r="U34" i="2"/>
  <c r="V34" i="2"/>
  <c r="R35" i="2"/>
  <c r="S35" i="2"/>
  <c r="T35" i="2"/>
  <c r="U35" i="2"/>
  <c r="V35" i="2"/>
  <c r="R36" i="2"/>
  <c r="S36" i="2"/>
  <c r="T36" i="2"/>
  <c r="U36" i="2"/>
  <c r="V36" i="2"/>
  <c r="R37" i="2"/>
  <c r="S37" i="2"/>
  <c r="T37" i="2"/>
  <c r="U37" i="2"/>
  <c r="V37" i="2"/>
  <c r="R38" i="2"/>
  <c r="S38" i="2"/>
  <c r="T38" i="2"/>
  <c r="U38" i="2"/>
  <c r="V38" i="2"/>
  <c r="R39" i="2"/>
  <c r="S39" i="2"/>
  <c r="T39" i="2"/>
  <c r="U39" i="2"/>
  <c r="V39" i="2"/>
  <c r="R40" i="2"/>
  <c r="S40" i="2"/>
  <c r="T40" i="2"/>
  <c r="U40" i="2"/>
  <c r="V40" i="2"/>
  <c r="R41" i="2"/>
  <c r="S41" i="2"/>
  <c r="T41" i="2"/>
  <c r="U41" i="2"/>
  <c r="V41" i="2"/>
  <c r="R42" i="2"/>
  <c r="S42" i="2"/>
  <c r="T42" i="2"/>
  <c r="U42" i="2"/>
  <c r="V42" i="2"/>
  <c r="R43" i="2"/>
  <c r="S43" i="2"/>
  <c r="T43" i="2"/>
  <c r="U43" i="2"/>
  <c r="V43" i="2"/>
  <c r="V44" i="2"/>
  <c r="J9" i="2"/>
  <c r="AA19" i="2"/>
  <c r="AC19" i="2"/>
  <c r="AA20" i="2"/>
  <c r="AC20" i="2"/>
  <c r="AA21" i="2"/>
  <c r="AC21" i="2"/>
  <c r="AA22" i="2"/>
  <c r="AC22" i="2"/>
  <c r="AA23" i="2"/>
  <c r="AC23" i="2"/>
  <c r="AA24" i="2"/>
  <c r="AC24" i="2"/>
  <c r="AA25" i="2"/>
  <c r="AC25" i="2"/>
  <c r="AA26" i="2"/>
  <c r="AC26" i="2"/>
  <c r="AA27" i="2"/>
  <c r="AC27" i="2"/>
  <c r="AA28" i="2"/>
  <c r="AC28" i="2"/>
  <c r="AA29" i="2"/>
  <c r="AC29" i="2"/>
  <c r="AA30" i="2"/>
  <c r="AC30" i="2"/>
  <c r="AA31" i="2"/>
  <c r="AC31" i="2"/>
  <c r="AA32" i="2"/>
  <c r="AC32" i="2"/>
  <c r="AA33" i="2"/>
  <c r="AC33" i="2"/>
  <c r="AA34" i="2"/>
  <c r="AC34" i="2"/>
  <c r="AA35" i="2"/>
  <c r="AC35" i="2"/>
  <c r="AA36" i="2"/>
  <c r="AC36" i="2"/>
  <c r="AA37" i="2"/>
  <c r="AC37" i="2"/>
  <c r="AA38" i="2"/>
  <c r="AC38" i="2"/>
  <c r="AA39" i="2"/>
  <c r="AC39" i="2"/>
  <c r="AA40" i="2"/>
  <c r="AC40" i="2"/>
  <c r="AA41" i="2"/>
  <c r="AC41" i="2"/>
  <c r="AA42" i="2"/>
  <c r="AC42" i="2"/>
  <c r="AA43" i="2"/>
  <c r="AC43" i="2"/>
  <c r="AC44" i="2"/>
  <c r="J10" i="2"/>
  <c r="J11" i="2"/>
  <c r="J13" i="2"/>
  <c r="J16" i="2"/>
  <c r="C5" i="10"/>
  <c r="C4" i="10"/>
  <c r="C16" i="10"/>
  <c r="D16" i="10"/>
  <c r="X19" i="3"/>
  <c r="C6" i="10"/>
  <c r="X18" i="3"/>
  <c r="S19" i="3"/>
  <c r="S18" i="3"/>
  <c r="E19" i="3"/>
  <c r="E18" i="3"/>
  <c r="W2" i="2"/>
  <c r="O2" i="2"/>
  <c r="H2" i="2"/>
  <c r="A2" i="2"/>
  <c r="A2" i="10"/>
  <c r="F16" i="10"/>
  <c r="B16" i="10"/>
  <c r="F15" i="10"/>
  <c r="D15" i="10"/>
  <c r="C15" i="10"/>
  <c r="F14" i="10"/>
  <c r="D14" i="10"/>
  <c r="C14" i="10"/>
  <c r="F13" i="10"/>
  <c r="D13" i="10"/>
  <c r="C13" i="10"/>
  <c r="F12" i="10"/>
  <c r="D12" i="10"/>
  <c r="C12" i="10"/>
  <c r="F11" i="10"/>
  <c r="D11" i="10"/>
  <c r="C11" i="10"/>
  <c r="A1" i="10"/>
  <c r="AG44" i="2"/>
  <c r="AF15" i="2"/>
  <c r="AD10" i="2"/>
  <c r="AD11" i="2"/>
  <c r="Y26" i="2"/>
  <c r="AC7" i="2"/>
  <c r="Y27" i="2"/>
  <c r="A1" i="2"/>
  <c r="S11" i="3"/>
  <c r="M3" i="8"/>
  <c r="M8" i="8"/>
  <c r="M7" i="8"/>
  <c r="M6" i="8"/>
  <c r="M5" i="8"/>
  <c r="M10" i="8"/>
  <c r="M9" i="8"/>
  <c r="U7" i="2"/>
  <c r="V10" i="2"/>
  <c r="V11" i="2"/>
  <c r="AC8" i="2"/>
  <c r="AC9" i="2"/>
  <c r="AC10" i="2"/>
  <c r="AC11" i="2"/>
  <c r="X19" i="2"/>
  <c r="Y19" i="2"/>
  <c r="X20" i="2"/>
  <c r="Y20" i="2"/>
  <c r="X21" i="2"/>
  <c r="Y21" i="2"/>
  <c r="X22" i="2"/>
  <c r="Y22" i="2"/>
  <c r="X23" i="2"/>
  <c r="Y23" i="2"/>
  <c r="X24" i="2"/>
  <c r="Y24" i="2"/>
  <c r="X25" i="2"/>
  <c r="Y25" i="2"/>
  <c r="X26" i="2"/>
  <c r="X27" i="2"/>
  <c r="X28" i="2"/>
  <c r="Y28" i="2"/>
  <c r="X29" i="2"/>
  <c r="Y29" i="2"/>
  <c r="X30" i="2"/>
  <c r="Y30" i="2"/>
  <c r="X31" i="2"/>
  <c r="Y31" i="2"/>
  <c r="X32" i="2"/>
  <c r="Y32" i="2"/>
  <c r="X33" i="2"/>
  <c r="Y33" i="2"/>
  <c r="X34" i="2"/>
  <c r="Y34" i="2"/>
  <c r="X35" i="2"/>
  <c r="Y35" i="2"/>
  <c r="X36" i="2"/>
  <c r="Y36" i="2"/>
  <c r="X37" i="2"/>
  <c r="Y37" i="2"/>
  <c r="X38" i="2"/>
  <c r="Y38" i="2"/>
  <c r="X39" i="2"/>
  <c r="Y39" i="2"/>
  <c r="X40" i="2"/>
  <c r="Y40" i="2"/>
  <c r="X41" i="2"/>
  <c r="Y41" i="2"/>
  <c r="X42" i="2"/>
  <c r="Y42" i="2"/>
  <c r="X43" i="2"/>
  <c r="Y43" i="2"/>
  <c r="W20" i="2"/>
  <c r="W21" i="2"/>
  <c r="W22" i="2"/>
  <c r="W23" i="2"/>
  <c r="W24" i="2"/>
  <c r="W25" i="2"/>
  <c r="W26" i="2"/>
  <c r="W27" i="2"/>
  <c r="W28" i="2"/>
  <c r="W29" i="2"/>
  <c r="W30" i="2"/>
  <c r="W31" i="2"/>
  <c r="W32" i="2"/>
  <c r="W33" i="2"/>
  <c r="W34" i="2"/>
  <c r="W35" i="2"/>
  <c r="W36" i="2"/>
  <c r="W37" i="2"/>
  <c r="W38" i="2"/>
  <c r="W39" i="2"/>
  <c r="W40" i="2"/>
  <c r="W41" i="2"/>
  <c r="W42" i="2"/>
  <c r="W43" i="2"/>
  <c r="W19" i="2"/>
  <c r="AC12" i="2"/>
  <c r="Y44" i="2"/>
  <c r="U8" i="2"/>
  <c r="V8" i="2"/>
  <c r="U9" i="2"/>
  <c r="V9" i="2"/>
  <c r="U10" i="2"/>
  <c r="U11" i="2"/>
  <c r="V7" i="2"/>
  <c r="Q44" i="2"/>
  <c r="Q12" i="2"/>
  <c r="U12" i="2"/>
  <c r="V12" i="2"/>
  <c r="J5" i="2"/>
  <c r="L3" i="8"/>
  <c r="K3" i="8"/>
  <c r="K8" i="8"/>
  <c r="K10" i="8"/>
  <c r="K6" i="8"/>
  <c r="K9" i="8"/>
  <c r="K5" i="8"/>
  <c r="K7" i="8"/>
  <c r="L9" i="8"/>
  <c r="L6" i="8"/>
  <c r="L8" i="8"/>
  <c r="L7" i="8"/>
  <c r="L5" i="8"/>
  <c r="L10" i="8"/>
  <c r="A1" i="3"/>
  <c r="W1" i="2"/>
  <c r="H1" i="2"/>
  <c r="O1" i="2"/>
  <c r="AF33" i="2"/>
  <c r="AF43" i="2"/>
  <c r="AF23" i="2"/>
  <c r="AF40" i="2"/>
  <c r="AF35" i="2"/>
  <c r="AF30" i="2"/>
  <c r="AF21" i="2"/>
  <c r="AF39" i="2"/>
  <c r="AF29" i="2"/>
  <c r="AF31" i="2"/>
  <c r="AF38" i="2"/>
  <c r="AF41" i="2"/>
  <c r="AF28" i="2"/>
  <c r="AF26" i="2"/>
  <c r="AF27" i="2"/>
  <c r="AF36" i="2"/>
  <c r="AF22" i="2"/>
  <c r="AF25" i="2"/>
  <c r="AF20" i="2"/>
  <c r="AF24" i="2"/>
  <c r="AF34" i="2"/>
  <c r="AF42" i="2"/>
  <c r="AF37" i="2"/>
  <c r="AF32" i="2"/>
  <c r="AF19" i="2"/>
  <c r="U3" i="4"/>
  <c r="AF44" i="2"/>
  <c r="AD7" i="2"/>
  <c r="AD25" i="2"/>
  <c r="AD22" i="2"/>
  <c r="AD35" i="2"/>
  <c r="AD41" i="2"/>
  <c r="AD19" i="2"/>
  <c r="AD38" i="2"/>
  <c r="AD21" i="2"/>
  <c r="AD36" i="2"/>
  <c r="AD23" i="2"/>
  <c r="AD24" i="2"/>
  <c r="AD32" i="2"/>
  <c r="AD33" i="2"/>
  <c r="AD37" i="2"/>
  <c r="AD39" i="2"/>
  <c r="AD42" i="2"/>
  <c r="AD26" i="2"/>
  <c r="AD20" i="2"/>
  <c r="AD27" i="2"/>
  <c r="AD34" i="2"/>
  <c r="AD40" i="2"/>
  <c r="AD28" i="2"/>
  <c r="AD43" i="2"/>
  <c r="AD29" i="2"/>
  <c r="AD31" i="2"/>
  <c r="AD30" i="2"/>
  <c r="T44" i="2"/>
  <c r="T3" i="4"/>
  <c r="S3" i="4"/>
  <c r="R3" i="4"/>
  <c r="Q3" i="4"/>
  <c r="P3" i="4"/>
  <c r="O3" i="4"/>
  <c r="N3" i="4"/>
  <c r="M3" i="4"/>
  <c r="L3" i="4"/>
  <c r="I3" i="4"/>
  <c r="H3" i="4"/>
  <c r="AD8" i="2"/>
  <c r="AD9" i="2"/>
  <c r="AD44" i="2"/>
  <c r="U44" i="2"/>
  <c r="S12" i="3"/>
  <c r="S13" i="3"/>
  <c r="S10" i="3"/>
  <c r="AD12" i="2"/>
  <c r="B5" i="3"/>
  <c r="G3" i="4"/>
  <c r="N10" i="3"/>
  <c r="B45" i="3"/>
  <c r="J3" i="4"/>
  <c r="N14" i="3"/>
  <c r="J18" i="2"/>
  <c r="X10" i="3"/>
  <c r="K3" i="4"/>
  <c r="X14" i="3"/>
</calcChain>
</file>

<file path=xl/sharedStrings.xml><?xml version="1.0" encoding="utf-8"?>
<sst xmlns="http://schemas.openxmlformats.org/spreadsheetml/2006/main" count="630" uniqueCount="396">
  <si>
    <t>Recommendation</t>
  </si>
  <si>
    <t>Facility Background</t>
  </si>
  <si>
    <t>Technology Background</t>
  </si>
  <si>
    <t>Proposal</t>
  </si>
  <si>
    <t>Source</t>
  </si>
  <si>
    <t>Quantity</t>
  </si>
  <si>
    <t>Units</t>
  </si>
  <si>
    <t>Cost Savings</t>
  </si>
  <si>
    <t>Total</t>
  </si>
  <si>
    <t>Based on</t>
  </si>
  <si>
    <t>Author</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</si>
  <si>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</si>
  <si>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</si>
  <si>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</si>
  <si>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</si>
  <si>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</si>
  <si>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</si>
  <si>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</si>
  <si>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</si>
  <si>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</si>
  <si>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</si>
  <si>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</si>
  <si>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</si>
  <si>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</si>
  <si>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</si>
  <si>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</si>
  <si>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</si>
  <si>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</si>
  <si>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</si>
  <si>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</si>
  <si>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</si>
  <si>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</si>
  <si>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</si>
  <si>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</si>
  <si>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</si>
  <si>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</si>
  <si>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Payback</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</si>
  <si>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</si>
  <si>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</si>
  <si>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</si>
  <si>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</si>
  <si>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</si>
  <si>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</si>
  <si>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</si>
  <si>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</si>
  <si>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</si>
  <si>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</si>
  <si>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</si>
  <si>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</si>
  <si>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</si>
  <si>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</si>
  <si>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</si>
  <si>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</si>
  <si>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</si>
  <si>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</si>
  <si>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</si>
  <si>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</si>
  <si>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</si>
  <si>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</si>
  <si>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</si>
  <si>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</si>
  <si>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</si>
  <si>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</si>
  <si>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</si>
  <si>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</si>
  <si>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</si>
  <si>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</si>
  <si>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</si>
  <si>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</si>
  <si>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</si>
  <si>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</si>
  <si>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</si>
  <si>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</si>
  <si>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</si>
  <si>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</si>
  <si>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</si>
  <si>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</si>
  <si>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</si>
  <si>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</si>
  <si>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</si>
  <si>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</si>
  <si>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</si>
  <si>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</si>
  <si>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</si>
  <si>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</si>
  <si>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</si>
  <si>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</si>
  <si>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</si>
  <si>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</si>
  <si>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</si>
  <si>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</si>
  <si>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</si>
  <si>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</si>
  <si>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</si>
  <si>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</si>
  <si>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</si>
  <si>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</si>
  <si>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</si>
  <si>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</si>
  <si>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</si>
  <si>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</si>
  <si>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</si>
  <si>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</si>
  <si>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</si>
  <si>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</si>
  <si>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</si>
  <si>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</si>
  <si>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</si>
  <si>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</si>
  <si>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</si>
  <si>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</si>
  <si>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</si>
  <si>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</si>
  <si>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</si>
  <si>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</si>
  <si>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</si>
  <si>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</si>
  <si>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</si>
  <si>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</si>
  <si>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</si>
  <si>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</si>
  <si>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</si>
  <si>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</si>
  <si>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</si>
  <si>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</si>
  <si>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</si>
  <si>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</si>
  <si>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</si>
  <si>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</si>
  <si>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</si>
  <si>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</si>
  <si>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</si>
  <si>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</si>
  <si>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</si>
  <si>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</si>
  <si>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</si>
  <si>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</si>
  <si>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</si>
  <si>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</si>
  <si>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</si>
  <si>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</si>
  <si>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</si>
  <si>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</si>
  <si>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</si>
  <si>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</si>
  <si>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</si>
  <si>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</si>
  <si>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</si>
  <si>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</si>
  <si>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</si>
  <si>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</si>
  <si>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Totals</t>
  </si>
  <si>
    <t>Equations</t>
  </si>
  <si>
    <t>Incremental Energy Data</t>
  </si>
  <si>
    <t>(Rf. 1)</t>
  </si>
  <si>
    <t>(N. 1)</t>
  </si>
  <si>
    <t>(Eq. 1)</t>
  </si>
  <si>
    <t>(Eq. 2)</t>
  </si>
  <si>
    <t>(N. 2)</t>
  </si>
  <si>
    <t>(N. 3)</t>
  </si>
  <si>
    <t>#</t>
  </si>
  <si>
    <t>Refrigerant Type</t>
  </si>
  <si>
    <t>Condenser Type</t>
  </si>
  <si>
    <t>Operating Hours</t>
  </si>
  <si>
    <t>Minimum Discharge Pressure</t>
  </si>
  <si>
    <t>Minimum Discharge Temperature</t>
  </si>
  <si>
    <t>Proposed Approach Temperature</t>
  </si>
  <si>
    <t>Load Factor</t>
  </si>
  <si>
    <t>Assumptions</t>
  </si>
  <si>
    <t>Proposed Set Points</t>
  </si>
  <si>
    <t>Refrigeration System Data</t>
  </si>
  <si>
    <t>Energy Use Summary</t>
  </si>
  <si>
    <t>Refrigerant - Pressure/Temperature Table</t>
  </si>
  <si>
    <t>Temp</t>
  </si>
  <si>
    <t>R-11</t>
  </si>
  <si>
    <t>R-12</t>
  </si>
  <si>
    <t>R-22</t>
  </si>
  <si>
    <t>R-123</t>
  </si>
  <si>
    <t>R-134a</t>
  </si>
  <si>
    <t>R-500</t>
  </si>
  <si>
    <t>Ammonia</t>
  </si>
  <si>
    <t>-</t>
  </si>
  <si>
    <t>Pressure to Temperature Interpolation</t>
  </si>
  <si>
    <t>Current</t>
  </si>
  <si>
    <t>Proposed</t>
  </si>
  <si>
    <t>Pressure (psig)</t>
  </si>
  <si>
    <t>Refrigerant</t>
  </si>
  <si>
    <t>Temp (°F)</t>
  </si>
  <si>
    <t>Evaporative</t>
  </si>
  <si>
    <r>
      <t>(t</t>
    </r>
    <r>
      <rPr>
        <vertAlign val="subscript"/>
        <sz val="9"/>
        <color theme="1"/>
        <rFont val="Times New Roman"/>
        <family val="1"/>
      </rPr>
      <t>h</t>
    </r>
    <r>
      <rPr>
        <sz val="9"/>
        <color theme="1"/>
        <rFont val="Times New Roman"/>
        <family val="1"/>
      </rPr>
      <t>)</t>
    </r>
  </si>
  <si>
    <t>°F</t>
  </si>
  <si>
    <t>hrs./yr.</t>
  </si>
  <si>
    <t>/kWh</t>
  </si>
  <si>
    <t>psig</t>
  </si>
  <si>
    <r>
      <t>(p</t>
    </r>
    <r>
      <rPr>
        <vertAlign val="subscript"/>
        <sz val="9"/>
        <color theme="1"/>
        <rFont val="Times New Roman"/>
        <family val="1"/>
      </rPr>
      <t>DC</t>
    </r>
    <r>
      <rPr>
        <sz val="9"/>
        <color theme="1"/>
        <rFont val="Times New Roman"/>
        <family val="1"/>
      </rPr>
      <t>)</t>
    </r>
  </si>
  <si>
    <r>
      <t>(T</t>
    </r>
    <r>
      <rPr>
        <vertAlign val="subscript"/>
        <sz val="9"/>
        <color theme="1"/>
        <rFont val="Times New Roman"/>
        <family val="1"/>
      </rPr>
      <t>DC</t>
    </r>
    <r>
      <rPr>
        <sz val="9"/>
        <color theme="1"/>
        <rFont val="Times New Roman"/>
        <family val="1"/>
      </rPr>
      <t>)</t>
    </r>
  </si>
  <si>
    <r>
      <t>(T</t>
    </r>
    <r>
      <rPr>
        <vertAlign val="subscript"/>
        <sz val="9"/>
        <color theme="1"/>
        <rFont val="Times New Roman"/>
        <family val="1"/>
      </rPr>
      <t>AC</t>
    </r>
    <r>
      <rPr>
        <sz val="9"/>
        <color theme="1"/>
        <rFont val="Times New Roman"/>
        <family val="1"/>
      </rPr>
      <t>)</t>
    </r>
  </si>
  <si>
    <r>
      <t>(p</t>
    </r>
    <r>
      <rPr>
        <vertAlign val="subscript"/>
        <sz val="9"/>
        <color theme="1"/>
        <rFont val="Times New Roman"/>
        <family val="1"/>
      </rPr>
      <t>DP</t>
    </r>
    <r>
      <rPr>
        <sz val="9"/>
        <color theme="1"/>
        <rFont val="Times New Roman"/>
        <family val="1"/>
      </rPr>
      <t>)</t>
    </r>
  </si>
  <si>
    <r>
      <t>(T</t>
    </r>
    <r>
      <rPr>
        <vertAlign val="subscript"/>
        <sz val="9"/>
        <color theme="1"/>
        <rFont val="Times New Roman"/>
        <family val="1"/>
      </rPr>
      <t>DP</t>
    </r>
    <r>
      <rPr>
        <sz val="9"/>
        <color theme="1"/>
        <rFont val="Times New Roman"/>
        <family val="1"/>
      </rPr>
      <t>)</t>
    </r>
  </si>
  <si>
    <r>
      <t>(T</t>
    </r>
    <r>
      <rPr>
        <vertAlign val="subscript"/>
        <sz val="9"/>
        <color theme="1"/>
        <rFont val="Times New Roman"/>
        <family val="1"/>
      </rPr>
      <t>AP</t>
    </r>
    <r>
      <rPr>
        <sz val="9"/>
        <color theme="1"/>
        <rFont val="Times New Roman"/>
        <family val="1"/>
      </rPr>
      <t>)</t>
    </r>
  </si>
  <si>
    <r>
      <t>(IC</t>
    </r>
    <r>
      <rPr>
        <vertAlign val="subscript"/>
        <sz val="9"/>
        <color theme="1"/>
        <rFont val="Times New Roman"/>
        <family val="1"/>
      </rPr>
      <t>E</t>
    </r>
    <r>
      <rPr>
        <sz val="9"/>
        <color theme="1"/>
        <rFont val="Times New Roman"/>
        <family val="1"/>
      </rPr>
      <t>)</t>
    </r>
  </si>
  <si>
    <t>Incremental Electricity Cost</t>
  </si>
  <si>
    <t>Current Set Points</t>
  </si>
  <si>
    <t>Economic Results</t>
  </si>
  <si>
    <t>Current Conditions</t>
  </si>
  <si>
    <t>Proposed Conditions</t>
  </si>
  <si>
    <t>Compressor Energy Consumption</t>
  </si>
  <si>
    <t>Fan Energy Consumption</t>
  </si>
  <si>
    <t>Total Energy Consumption</t>
  </si>
  <si>
    <t>kWh</t>
  </si>
  <si>
    <t>Compressor Description</t>
  </si>
  <si>
    <t>Compressor Energy Analysis</t>
  </si>
  <si>
    <t>Rated Power</t>
  </si>
  <si>
    <t>Power Draw</t>
  </si>
  <si>
    <t>Dry Bulb</t>
  </si>
  <si>
    <t>Wet Bulb</t>
  </si>
  <si>
    <t>Hours</t>
  </si>
  <si>
    <t>Degree Hour Savings</t>
  </si>
  <si>
    <t>Percent Savings</t>
  </si>
  <si>
    <t>Compressor Savings</t>
  </si>
  <si>
    <t>Compressor Summary</t>
  </si>
  <si>
    <t>Weather Bin Data</t>
  </si>
  <si>
    <t>Efficiency</t>
  </si>
  <si>
    <t>(hp)</t>
  </si>
  <si>
    <t>(°F)</t>
  </si>
  <si>
    <t>(°F-hrs.)</t>
  </si>
  <si>
    <t>(kWh)</t>
  </si>
  <si>
    <t>(hrs./yr.)</t>
  </si>
  <si>
    <t>(kW)</t>
  </si>
  <si>
    <t>Current Discharge</t>
  </si>
  <si>
    <t>Proposed Discharge</t>
  </si>
  <si>
    <t>Condenser Description</t>
  </si>
  <si>
    <t>Condenser Fan Energy Analysis</t>
  </si>
  <si>
    <t>Condenser Fan Summary</t>
  </si>
  <si>
    <t>Fan Savings</t>
  </si>
  <si>
    <t>Current Fan Use</t>
  </si>
  <si>
    <t>Proposed Fan Use</t>
  </si>
  <si>
    <t>Current Fan Energy</t>
  </si>
  <si>
    <t>Proposed Fan Energy</t>
  </si>
  <si>
    <t>Condenser Fan Control Type</t>
  </si>
  <si>
    <t>Savings</t>
  </si>
  <si>
    <t>Total Energy Savings</t>
  </si>
  <si>
    <t>/yr.</t>
  </si>
  <si>
    <r>
      <t>(C</t>
    </r>
    <r>
      <rPr>
        <vertAlign val="subscript"/>
        <sz val="9"/>
        <color theme="1"/>
        <rFont val="Times New Roman"/>
        <family val="1"/>
      </rPr>
      <t>I</t>
    </r>
    <r>
      <rPr>
        <sz val="9"/>
        <color theme="1"/>
        <rFont val="Times New Roman"/>
        <family val="1"/>
      </rPr>
      <t>)</t>
    </r>
  </si>
  <si>
    <t>(Rf. 3)</t>
  </si>
  <si>
    <r>
      <t>(t</t>
    </r>
    <r>
      <rPr>
        <vertAlign val="subscript"/>
        <sz val="9"/>
        <color theme="1"/>
        <rFont val="Times New Roman"/>
        <family val="1"/>
      </rPr>
      <t>PB</t>
    </r>
    <r>
      <rPr>
        <sz val="9"/>
        <color theme="1"/>
        <rFont val="Times New Roman"/>
        <family val="1"/>
      </rPr>
      <t>)</t>
    </r>
  </si>
  <si>
    <t>years</t>
  </si>
  <si>
    <t>VSD Efficiency</t>
  </si>
  <si>
    <t>(Rf. 2)</t>
  </si>
  <si>
    <t>(N. 4)</t>
  </si>
  <si>
    <t>(Eq. 3)</t>
  </si>
  <si>
    <t>(N. 5)</t>
  </si>
  <si>
    <r>
      <rPr>
        <sz val="9"/>
        <color theme="1"/>
        <rFont val="Times New Roman"/>
        <family val="1"/>
      </rPr>
      <t>(W</t>
    </r>
    <r>
      <rPr>
        <vertAlign val="subscript"/>
        <sz val="9"/>
        <color theme="1"/>
        <rFont val="Times New Roman"/>
        <family val="1"/>
      </rPr>
      <t>R</t>
    </r>
    <r>
      <rPr>
        <sz val="9"/>
        <color theme="1"/>
        <rFont val="Times New Roman"/>
        <family val="1"/>
      </rPr>
      <t xml:space="preserve">) </t>
    </r>
    <r>
      <rPr>
        <b/>
        <sz val="9"/>
        <color theme="1"/>
        <rFont val="Times New Roman"/>
        <family val="1"/>
      </rPr>
      <t>(N. 1)</t>
    </r>
  </si>
  <si>
    <r>
      <rPr>
        <sz val="9"/>
        <color theme="1"/>
        <rFont val="Times New Roman"/>
        <family val="1"/>
      </rPr>
      <t>(</t>
    </r>
    <r>
      <rPr>
        <sz val="9"/>
        <color theme="1"/>
        <rFont val="Calibri"/>
        <family val="2"/>
      </rPr>
      <t>η</t>
    </r>
    <r>
      <rPr>
        <vertAlign val="subscript"/>
        <sz val="9"/>
        <color theme="1"/>
        <rFont val="Times New Roman"/>
        <family val="1"/>
      </rPr>
      <t>M</t>
    </r>
    <r>
      <rPr>
        <sz val="9"/>
        <color theme="1"/>
        <rFont val="Times New Roman"/>
        <family val="1"/>
      </rPr>
      <t xml:space="preserve">) </t>
    </r>
    <r>
      <rPr>
        <b/>
        <sz val="9"/>
        <color theme="1"/>
        <rFont val="Times New Roman"/>
        <family val="1"/>
      </rPr>
      <t>(N. 1)</t>
    </r>
  </si>
  <si>
    <r>
      <rPr>
        <sz val="9"/>
        <color theme="1"/>
        <rFont val="Times New Roman"/>
        <family val="1"/>
      </rPr>
      <t>(UF)</t>
    </r>
    <r>
      <rPr>
        <b/>
        <sz val="9"/>
        <color theme="1"/>
        <rFont val="Times New Roman"/>
        <family val="1"/>
      </rPr>
      <t xml:space="preserve"> (N. 1)</t>
    </r>
  </si>
  <si>
    <r>
      <rPr>
        <sz val="9"/>
        <color theme="1"/>
        <rFont val="Times New Roman"/>
        <family val="1"/>
      </rPr>
      <t>(Q</t>
    </r>
    <r>
      <rPr>
        <vertAlign val="subscript"/>
        <sz val="9"/>
        <color theme="1"/>
        <rFont val="Times New Roman"/>
        <family val="1"/>
      </rPr>
      <t>FM</t>
    </r>
    <r>
      <rPr>
        <sz val="9"/>
        <color theme="1"/>
        <rFont val="Times New Roman"/>
        <family val="1"/>
      </rPr>
      <t xml:space="preserve">) </t>
    </r>
    <r>
      <rPr>
        <b/>
        <sz val="9"/>
        <color theme="1"/>
        <rFont val="Times New Roman"/>
        <family val="1"/>
      </rPr>
      <t>(N. 1)</t>
    </r>
  </si>
  <si>
    <t>Notes</t>
  </si>
  <si>
    <r>
      <rPr>
        <b/>
        <sz val="10"/>
        <color theme="1"/>
        <rFont val="Times New Roman"/>
        <family val="1"/>
      </rPr>
      <t>N. 2)</t>
    </r>
    <r>
      <rPr>
        <sz val="10"/>
        <color theme="1"/>
        <rFont val="Times New Roman"/>
        <family val="1"/>
      </rPr>
      <t xml:space="preserve"> Corresponding temperature for the specified pressure and refrigerant type from thermodynamic tables.</t>
    </r>
  </si>
  <si>
    <r>
      <rPr>
        <b/>
        <sz val="10"/>
        <color theme="1"/>
        <rFont val="Times New Roman"/>
        <family val="1"/>
      </rPr>
      <t>N. 1)</t>
    </r>
    <r>
      <rPr>
        <sz val="10"/>
        <color theme="1"/>
        <rFont val="Times New Roman"/>
        <family val="1"/>
      </rPr>
      <t xml:space="preserve"> Refrigeration system information collected on-site during the assessment, for more details see Site Reports in the Site Data section.</t>
    </r>
  </si>
  <si>
    <t>References</t>
  </si>
  <si>
    <r>
      <rPr>
        <b/>
        <sz val="10"/>
        <color theme="1"/>
        <rFont val="Times New Roman"/>
        <family val="1"/>
      </rPr>
      <t>Rf. 1)</t>
    </r>
    <r>
      <rPr>
        <sz val="10"/>
        <color theme="1"/>
        <rFont val="Times New Roman"/>
        <family val="1"/>
      </rPr>
      <t xml:space="preserve"> Incremental energy costs developed in the Utility Analysis located in the Site Data section.</t>
    </r>
  </si>
  <si>
    <r>
      <rPr>
        <b/>
        <sz val="10"/>
        <color theme="1"/>
        <rFont val="Times New Roman"/>
        <family val="1"/>
      </rPr>
      <t>Rf. 2)</t>
    </r>
    <r>
      <rPr>
        <sz val="10"/>
        <color theme="1"/>
        <rFont val="Times New Roman"/>
        <family val="1"/>
      </rPr>
      <t xml:space="preserve"> VSD efficiencies are assumed by analysts based on </t>
    </r>
    <r>
      <rPr>
        <i/>
        <sz val="10"/>
        <color theme="1"/>
        <rFont val="Times New Roman"/>
        <family val="1"/>
      </rPr>
      <t>Motor Tip Sheet #11,</t>
    </r>
    <r>
      <rPr>
        <sz val="10"/>
        <color theme="1"/>
        <rFont val="Times New Roman"/>
        <family val="1"/>
      </rPr>
      <t xml:space="preserve"> June 2008, USDOE, Industrial Technologies Program, Energy Efficiency and Renewable Energy.</t>
    </r>
  </si>
  <si>
    <t>Proposed Condenser System Data</t>
  </si>
  <si>
    <t>Weather Readings</t>
  </si>
  <si>
    <t>Wet Bulb Temperature</t>
  </si>
  <si>
    <t>Dry Bulb Temperature</t>
  </si>
  <si>
    <t>General Data</t>
  </si>
  <si>
    <t>Condenser Approach Analysis</t>
  </si>
  <si>
    <t>Approach Temperature</t>
  </si>
  <si>
    <r>
      <rPr>
        <b/>
        <sz val="10"/>
        <color theme="1"/>
        <rFont val="Times New Roman"/>
        <family val="1"/>
      </rPr>
      <t xml:space="preserve">Eq. 1) </t>
    </r>
    <r>
      <rPr>
        <sz val="10"/>
        <color theme="1"/>
        <rFont val="Times New Roman"/>
        <family val="1"/>
      </rPr>
      <t>Current Approach Temperature (T</t>
    </r>
    <r>
      <rPr>
        <vertAlign val="subscript"/>
        <sz val="10"/>
        <color theme="1"/>
        <rFont val="Times New Roman"/>
        <family val="1"/>
      </rPr>
      <t>AC</t>
    </r>
    <r>
      <rPr>
        <sz val="10"/>
        <color theme="1"/>
        <rFont val="Times New Roman"/>
        <family val="1"/>
      </rPr>
      <t>)</t>
    </r>
  </si>
  <si>
    <r>
      <t>(T</t>
    </r>
    <r>
      <rPr>
        <vertAlign val="subscript"/>
        <sz val="9"/>
        <color theme="1"/>
        <rFont val="Times New Roman"/>
        <family val="1"/>
      </rPr>
      <t>DB</t>
    </r>
    <r>
      <rPr>
        <sz val="9"/>
        <color theme="1"/>
        <rFont val="Times New Roman"/>
        <family val="1"/>
      </rPr>
      <t>)</t>
    </r>
  </si>
  <si>
    <r>
      <t>(T</t>
    </r>
    <r>
      <rPr>
        <vertAlign val="subscript"/>
        <sz val="9"/>
        <color theme="1"/>
        <rFont val="Times New Roman"/>
        <family val="1"/>
      </rPr>
      <t>WB</t>
    </r>
    <r>
      <rPr>
        <sz val="9"/>
        <color theme="1"/>
        <rFont val="Times New Roman"/>
        <family val="1"/>
      </rPr>
      <t>)</t>
    </r>
  </si>
  <si>
    <t>VSD</t>
  </si>
  <si>
    <r>
      <t>(E</t>
    </r>
    <r>
      <rPr>
        <vertAlign val="subscript"/>
        <sz val="9"/>
        <color theme="1"/>
        <rFont val="Times New Roman"/>
        <family val="1"/>
      </rPr>
      <t>CC</t>
    </r>
    <r>
      <rPr>
        <sz val="9"/>
        <color theme="1"/>
        <rFont val="Times New Roman"/>
        <family val="1"/>
      </rPr>
      <t>)</t>
    </r>
  </si>
  <si>
    <r>
      <t>(E</t>
    </r>
    <r>
      <rPr>
        <vertAlign val="subscript"/>
        <sz val="9"/>
        <color theme="1"/>
        <rFont val="Times New Roman"/>
        <family val="1"/>
      </rPr>
      <t>FC</t>
    </r>
    <r>
      <rPr>
        <sz val="9"/>
        <color theme="1"/>
        <rFont val="Times New Roman"/>
        <family val="1"/>
      </rPr>
      <t>)</t>
    </r>
  </si>
  <si>
    <r>
      <t>(E</t>
    </r>
    <r>
      <rPr>
        <vertAlign val="subscript"/>
        <sz val="9"/>
        <color theme="1"/>
        <rFont val="Times New Roman"/>
        <family val="1"/>
      </rPr>
      <t>TC</t>
    </r>
    <r>
      <rPr>
        <sz val="9"/>
        <color theme="1"/>
        <rFont val="Times New Roman"/>
        <family val="1"/>
      </rPr>
      <t>)</t>
    </r>
  </si>
  <si>
    <r>
      <t>(E</t>
    </r>
    <r>
      <rPr>
        <vertAlign val="subscript"/>
        <sz val="9"/>
        <color theme="1"/>
        <rFont val="Times New Roman"/>
        <family val="1"/>
      </rPr>
      <t>CP</t>
    </r>
    <r>
      <rPr>
        <sz val="9"/>
        <color theme="1"/>
        <rFont val="Times New Roman"/>
        <family val="1"/>
      </rPr>
      <t>)</t>
    </r>
  </si>
  <si>
    <r>
      <t>(E</t>
    </r>
    <r>
      <rPr>
        <vertAlign val="subscript"/>
        <sz val="9"/>
        <color theme="1"/>
        <rFont val="Times New Roman"/>
        <family val="1"/>
      </rPr>
      <t>FP</t>
    </r>
    <r>
      <rPr>
        <sz val="9"/>
        <color theme="1"/>
        <rFont val="Times New Roman"/>
        <family val="1"/>
      </rPr>
      <t>)</t>
    </r>
  </si>
  <si>
    <r>
      <t>(E</t>
    </r>
    <r>
      <rPr>
        <vertAlign val="subscript"/>
        <sz val="9"/>
        <color theme="1"/>
        <rFont val="Times New Roman"/>
        <family val="1"/>
      </rPr>
      <t>TP</t>
    </r>
    <r>
      <rPr>
        <sz val="9"/>
        <color theme="1"/>
        <rFont val="Times New Roman"/>
        <family val="1"/>
      </rPr>
      <t>)</t>
    </r>
  </si>
  <si>
    <r>
      <t>(E</t>
    </r>
    <r>
      <rPr>
        <vertAlign val="subscript"/>
        <sz val="9"/>
        <color theme="1"/>
        <rFont val="Times New Roman"/>
        <family val="1"/>
      </rPr>
      <t>TS</t>
    </r>
    <r>
      <rPr>
        <sz val="9"/>
        <color theme="1"/>
        <rFont val="Times New Roman"/>
        <family val="1"/>
      </rPr>
      <t>)</t>
    </r>
  </si>
  <si>
    <t>(Eq. 4)</t>
  </si>
  <si>
    <r>
      <rPr>
        <b/>
        <sz val="10"/>
        <color theme="1"/>
        <rFont val="Times New Roman"/>
        <family val="1"/>
      </rPr>
      <t xml:space="preserve">Eq. 2) </t>
    </r>
    <r>
      <rPr>
        <sz val="10"/>
        <color theme="1"/>
        <rFont val="Times New Roman"/>
        <family val="1"/>
      </rPr>
      <t>Total Energy Consumption (E</t>
    </r>
    <r>
      <rPr>
        <vertAlign val="subscript"/>
        <sz val="10"/>
        <color theme="1"/>
        <rFont val="Times New Roman"/>
        <family val="1"/>
      </rPr>
      <t>TC,TP</t>
    </r>
    <r>
      <rPr>
        <sz val="10"/>
        <color theme="1"/>
        <rFont val="Times New Roman"/>
        <family val="1"/>
      </rPr>
      <t>)</t>
    </r>
  </si>
  <si>
    <r>
      <rPr>
        <b/>
        <sz val="10"/>
        <color theme="1"/>
        <rFont val="Times New Roman"/>
        <family val="1"/>
      </rPr>
      <t xml:space="preserve">Eq. 3) </t>
    </r>
    <r>
      <rPr>
        <sz val="10"/>
        <color theme="1"/>
        <rFont val="Times New Roman"/>
        <family val="1"/>
      </rPr>
      <t>Total Energy Savings (E</t>
    </r>
    <r>
      <rPr>
        <vertAlign val="subscript"/>
        <sz val="10"/>
        <color theme="1"/>
        <rFont val="Times New Roman"/>
        <family val="1"/>
      </rPr>
      <t>TS</t>
    </r>
    <r>
      <rPr>
        <sz val="10"/>
        <color theme="1"/>
        <rFont val="Times New Roman"/>
        <family val="1"/>
      </rPr>
      <t>)</t>
    </r>
  </si>
  <si>
    <r>
      <rPr>
        <b/>
        <sz val="10"/>
        <color theme="1"/>
        <rFont val="Times New Roman"/>
        <family val="1"/>
      </rPr>
      <t>N. 4)</t>
    </r>
    <r>
      <rPr>
        <sz val="10"/>
        <color theme="1"/>
        <rFont val="Times New Roman"/>
        <family val="1"/>
      </rPr>
      <t xml:space="preserve"> Proposed approach temperature is assumed the same as current approach temperature.</t>
    </r>
  </si>
  <si>
    <r>
      <rPr>
        <sz val="9"/>
        <color theme="1"/>
        <rFont val="Times New Roman"/>
        <family val="1"/>
      </rPr>
      <t>(U</t>
    </r>
    <r>
      <rPr>
        <vertAlign val="subscript"/>
        <sz val="9"/>
        <color theme="1"/>
        <rFont val="Times New Roman"/>
        <family val="1"/>
      </rPr>
      <t>FC</t>
    </r>
    <r>
      <rPr>
        <sz val="9"/>
        <color theme="1"/>
        <rFont val="Times New Roman"/>
        <family val="1"/>
      </rPr>
      <t>)</t>
    </r>
    <r>
      <rPr>
        <b/>
        <sz val="9"/>
        <color theme="1"/>
        <rFont val="Times New Roman"/>
        <family val="1"/>
      </rPr>
      <t xml:space="preserve"> (Eq. 12)</t>
    </r>
  </si>
  <si>
    <r>
      <rPr>
        <sz val="9"/>
        <color theme="1"/>
        <rFont val="Times New Roman"/>
        <family val="1"/>
      </rPr>
      <t>(U</t>
    </r>
    <r>
      <rPr>
        <vertAlign val="subscript"/>
        <sz val="9"/>
        <color theme="1"/>
        <rFont val="Times New Roman"/>
        <family val="1"/>
      </rPr>
      <t>FP</t>
    </r>
    <r>
      <rPr>
        <sz val="9"/>
        <color theme="1"/>
        <rFont val="Times New Roman"/>
        <family val="1"/>
      </rPr>
      <t>)</t>
    </r>
    <r>
      <rPr>
        <b/>
        <sz val="9"/>
        <color theme="1"/>
        <rFont val="Times New Roman"/>
        <family val="1"/>
      </rPr>
      <t xml:space="preserve"> (Eq. 12)</t>
    </r>
  </si>
  <si>
    <r>
      <rPr>
        <sz val="9"/>
        <color theme="1"/>
        <rFont val="Times New Roman"/>
        <family val="1"/>
      </rPr>
      <t>(E</t>
    </r>
    <r>
      <rPr>
        <vertAlign val="subscript"/>
        <sz val="9"/>
        <color theme="1"/>
        <rFont val="Times New Roman"/>
        <family val="1"/>
      </rPr>
      <t>FC</t>
    </r>
    <r>
      <rPr>
        <sz val="9"/>
        <color theme="1"/>
        <rFont val="Times New Roman"/>
        <family val="1"/>
      </rPr>
      <t>)</t>
    </r>
    <r>
      <rPr>
        <b/>
        <sz val="9"/>
        <color theme="1"/>
        <rFont val="Times New Roman"/>
        <family val="1"/>
      </rPr>
      <t xml:space="preserve"> (Eq. 13)</t>
    </r>
  </si>
  <si>
    <r>
      <rPr>
        <sz val="9"/>
        <color theme="1"/>
        <rFont val="Times New Roman"/>
        <family val="1"/>
      </rPr>
      <t>(E</t>
    </r>
    <r>
      <rPr>
        <vertAlign val="subscript"/>
        <sz val="9"/>
        <color theme="1"/>
        <rFont val="Times New Roman"/>
        <family val="1"/>
      </rPr>
      <t>FP</t>
    </r>
    <r>
      <rPr>
        <sz val="9"/>
        <color theme="1"/>
        <rFont val="Times New Roman"/>
        <family val="1"/>
      </rPr>
      <t>)</t>
    </r>
    <r>
      <rPr>
        <b/>
        <sz val="9"/>
        <color theme="1"/>
        <rFont val="Times New Roman"/>
        <family val="1"/>
      </rPr>
      <t xml:space="preserve"> (Eq. 13)</t>
    </r>
  </si>
  <si>
    <r>
      <rPr>
        <sz val="9"/>
        <color theme="1"/>
        <rFont val="Times New Roman"/>
        <family val="1"/>
      </rPr>
      <t>(E</t>
    </r>
    <r>
      <rPr>
        <vertAlign val="subscript"/>
        <sz val="9"/>
        <color theme="1"/>
        <rFont val="Times New Roman"/>
        <family val="1"/>
      </rPr>
      <t>FS</t>
    </r>
    <r>
      <rPr>
        <sz val="9"/>
        <color theme="1"/>
        <rFont val="Times New Roman"/>
        <family val="1"/>
      </rPr>
      <t>)</t>
    </r>
    <r>
      <rPr>
        <b/>
        <sz val="9"/>
        <color theme="1"/>
        <rFont val="Times New Roman"/>
        <family val="1"/>
      </rPr>
      <t xml:space="preserve"> (Eq. 14)</t>
    </r>
  </si>
  <si>
    <r>
      <rPr>
        <b/>
        <sz val="10"/>
        <color theme="1"/>
        <rFont val="Times New Roman"/>
        <family val="1"/>
      </rPr>
      <t>Eq. 12)</t>
    </r>
    <r>
      <rPr>
        <sz val="10"/>
        <color theme="1"/>
        <rFont val="Times New Roman"/>
        <family val="1"/>
      </rPr>
      <t xml:space="preserve"> Fan Use Factor (U</t>
    </r>
    <r>
      <rPr>
        <vertAlign val="subscript"/>
        <sz val="10"/>
        <color theme="1"/>
        <rFont val="Times New Roman"/>
        <family val="1"/>
      </rPr>
      <t>FC,FP</t>
    </r>
    <r>
      <rPr>
        <sz val="10"/>
        <color theme="1"/>
        <rFont val="Times New Roman"/>
        <family val="1"/>
      </rPr>
      <t>)</t>
    </r>
  </si>
  <si>
    <r>
      <rPr>
        <b/>
        <sz val="10"/>
        <color theme="1"/>
        <rFont val="Times New Roman"/>
        <family val="1"/>
      </rPr>
      <t>Eq. 13)</t>
    </r>
    <r>
      <rPr>
        <sz val="10"/>
        <color theme="1"/>
        <rFont val="Times New Roman"/>
        <family val="1"/>
      </rPr>
      <t xml:space="preserve"> Fan Energy Consumption (E</t>
    </r>
    <r>
      <rPr>
        <vertAlign val="subscript"/>
        <sz val="10"/>
        <color theme="1"/>
        <rFont val="Times New Roman"/>
        <family val="1"/>
      </rPr>
      <t>FC,FP</t>
    </r>
    <r>
      <rPr>
        <sz val="10"/>
        <color theme="1"/>
        <rFont val="Times New Roman"/>
        <family val="1"/>
      </rPr>
      <t>)</t>
    </r>
  </si>
  <si>
    <r>
      <rPr>
        <b/>
        <sz val="10"/>
        <color theme="1"/>
        <rFont val="Times New Roman"/>
        <family val="1"/>
      </rPr>
      <t>Eq. 14)</t>
    </r>
    <r>
      <rPr>
        <sz val="10"/>
        <color theme="1"/>
        <rFont val="Times New Roman"/>
        <family val="1"/>
      </rPr>
      <t xml:space="preserve"> Fan Energy Savings (E</t>
    </r>
    <r>
      <rPr>
        <vertAlign val="subscript"/>
        <sz val="10"/>
        <color theme="1"/>
        <rFont val="Times New Roman"/>
        <family val="1"/>
      </rPr>
      <t>FS</t>
    </r>
    <r>
      <rPr>
        <sz val="10"/>
        <color theme="1"/>
        <rFont val="Times New Roman"/>
        <family val="1"/>
      </rPr>
      <t>)</t>
    </r>
  </si>
  <si>
    <t>Compressor Energy Savings Factor</t>
  </si>
  <si>
    <t>/°F</t>
  </si>
  <si>
    <r>
      <rPr>
        <b/>
        <sz val="10"/>
        <color theme="1"/>
        <rFont val="Times New Roman"/>
        <family val="1"/>
      </rPr>
      <t>Rf. 4)</t>
    </r>
    <r>
      <rPr>
        <sz val="10"/>
        <color theme="1"/>
        <rFont val="Times New Roman"/>
        <family val="1"/>
      </rPr>
      <t xml:space="preserve"> Current and proposed energy consumption values developed analysis table on following pages.</t>
    </r>
  </si>
  <si>
    <r>
      <rPr>
        <b/>
        <sz val="10"/>
        <color theme="1"/>
        <rFont val="Times New Roman"/>
        <family val="1"/>
      </rPr>
      <t>Rf. 5)</t>
    </r>
    <r>
      <rPr>
        <sz val="10"/>
        <color theme="1"/>
        <rFont val="Times New Roman"/>
        <family val="1"/>
      </rPr>
      <t xml:space="preserve"> Motor load factor developed in the previous Motor Analysis Tool (MAT) pages.</t>
    </r>
  </si>
  <si>
    <t>(Rf. 4)</t>
  </si>
  <si>
    <r>
      <rPr>
        <sz val="9"/>
        <color theme="1"/>
        <rFont val="Times New Roman"/>
        <family val="1"/>
      </rPr>
      <t>(LF)</t>
    </r>
    <r>
      <rPr>
        <b/>
        <sz val="9"/>
        <color theme="1"/>
        <rFont val="Times New Roman"/>
        <family val="1"/>
      </rPr>
      <t xml:space="preserve"> (Rf. 5)</t>
    </r>
  </si>
  <si>
    <r>
      <rPr>
        <sz val="9"/>
        <color theme="1"/>
        <rFont val="Times New Roman"/>
        <family val="1"/>
      </rPr>
      <t>(t</t>
    </r>
    <r>
      <rPr>
        <vertAlign val="subscript"/>
        <sz val="9"/>
        <color theme="1"/>
        <rFont val="Times New Roman"/>
        <family val="1"/>
      </rPr>
      <t>BIN</t>
    </r>
    <r>
      <rPr>
        <sz val="9"/>
        <color theme="1"/>
        <rFont val="Times New Roman"/>
        <family val="1"/>
      </rPr>
      <t>)</t>
    </r>
    <r>
      <rPr>
        <b/>
        <sz val="9"/>
        <color theme="1"/>
        <rFont val="Times New Roman"/>
        <family val="1"/>
      </rPr>
      <t xml:space="preserve"> (Rf. 6)</t>
    </r>
  </si>
  <si>
    <r>
      <rPr>
        <sz val="9"/>
        <color theme="1"/>
        <rFont val="Times New Roman"/>
        <family val="1"/>
      </rPr>
      <t>(T</t>
    </r>
    <r>
      <rPr>
        <vertAlign val="subscript"/>
        <sz val="9"/>
        <color theme="1"/>
        <rFont val="Times New Roman"/>
        <family val="1"/>
      </rPr>
      <t>WB</t>
    </r>
    <r>
      <rPr>
        <sz val="9"/>
        <color theme="1"/>
        <rFont val="Times New Roman"/>
        <family val="1"/>
      </rPr>
      <t>)</t>
    </r>
    <r>
      <rPr>
        <b/>
        <sz val="9"/>
        <color theme="1"/>
        <rFont val="Times New Roman"/>
        <family val="1"/>
      </rPr>
      <t xml:space="preserve"> (Rf. 6)</t>
    </r>
  </si>
  <si>
    <r>
      <rPr>
        <sz val="9"/>
        <color theme="1"/>
        <rFont val="Times New Roman"/>
        <family val="1"/>
      </rPr>
      <t>(T</t>
    </r>
    <r>
      <rPr>
        <vertAlign val="subscript"/>
        <sz val="9"/>
        <color theme="1"/>
        <rFont val="Times New Roman"/>
        <family val="1"/>
      </rPr>
      <t>DB</t>
    </r>
    <r>
      <rPr>
        <sz val="9"/>
        <color theme="1"/>
        <rFont val="Times New Roman"/>
        <family val="1"/>
      </rPr>
      <t>)</t>
    </r>
    <r>
      <rPr>
        <b/>
        <sz val="9"/>
        <color theme="1"/>
        <rFont val="Times New Roman"/>
        <family val="1"/>
      </rPr>
      <t xml:space="preserve"> (Rf. 6)</t>
    </r>
  </si>
  <si>
    <r>
      <t>(</t>
    </r>
    <r>
      <rPr>
        <sz val="9"/>
        <color theme="1"/>
        <rFont val="Calibri"/>
        <family val="2"/>
      </rPr>
      <t>η</t>
    </r>
    <r>
      <rPr>
        <vertAlign val="subscript"/>
        <sz val="9"/>
        <color theme="1"/>
        <rFont val="Times New Roman"/>
        <family val="1"/>
      </rPr>
      <t>VSD</t>
    </r>
    <r>
      <rPr>
        <sz val="9"/>
        <color theme="1"/>
        <rFont val="Times New Roman"/>
        <family val="1"/>
      </rPr>
      <t>)</t>
    </r>
  </si>
  <si>
    <r>
      <rPr>
        <b/>
        <sz val="10"/>
        <rFont val="Times New Roman"/>
        <family val="1"/>
      </rPr>
      <t>Rf. 6)</t>
    </r>
    <r>
      <rPr>
        <sz val="10"/>
        <rFont val="Times New Roman"/>
        <family val="1"/>
      </rPr>
      <t xml:space="preserve"> Weather bin data is processed using the DOE2 tool and TMY3 data from the National Solar Radiation Data Base.</t>
    </r>
  </si>
  <si>
    <t>Discharge Temperature</t>
  </si>
  <si>
    <t>Measured Discharge Temperature</t>
  </si>
  <si>
    <t>Measured</t>
  </si>
  <si>
    <t>(N. 7)</t>
  </si>
  <si>
    <r>
      <t>N. 7)</t>
    </r>
    <r>
      <rPr>
        <sz val="10"/>
        <color theme="1"/>
        <rFont val="Times New Roman"/>
        <family val="1"/>
      </rPr>
      <t xml:space="preserve"> There is no implementation cost associated with plant personnel adjusting the refrigeration system discharge pressure.</t>
    </r>
  </si>
  <si>
    <r>
      <rPr>
        <b/>
        <sz val="10"/>
        <color theme="1"/>
        <rFont val="Times New Roman"/>
        <family val="1"/>
      </rPr>
      <t>N. 6)</t>
    </r>
    <r>
      <rPr>
        <sz val="10"/>
        <color theme="1"/>
        <rFont val="Times New Roman"/>
        <family val="1"/>
      </rPr>
      <t xml:space="preserve"> Dry bulb and wet bulb temperatures measured on-site at the same time minimum discharge pressures were measured.</t>
    </r>
  </si>
  <si>
    <t>(N. 6)</t>
  </si>
  <si>
    <r>
      <rPr>
        <b/>
        <sz val="10"/>
        <color theme="1"/>
        <rFont val="Times New Roman"/>
        <family val="1"/>
      </rPr>
      <t>N. 5)</t>
    </r>
    <r>
      <rPr>
        <sz val="10"/>
        <color theme="1"/>
        <rFont val="Times New Roman"/>
        <family val="1"/>
      </rPr>
      <t xml:space="preserve"> Minimum discharge temperature difference determined by observing the system under typical loading conditions with all heat exchanger fans running at full-power.</t>
    </r>
  </si>
  <si>
    <r>
      <t>(p</t>
    </r>
    <r>
      <rPr>
        <vertAlign val="subscript"/>
        <sz val="9"/>
        <color theme="1"/>
        <rFont val="Times New Roman"/>
        <family val="1"/>
      </rPr>
      <t>DM</t>
    </r>
    <r>
      <rPr>
        <sz val="9"/>
        <color theme="1"/>
        <rFont val="Times New Roman"/>
        <family val="1"/>
      </rPr>
      <t>)</t>
    </r>
  </si>
  <si>
    <r>
      <t>(T</t>
    </r>
    <r>
      <rPr>
        <vertAlign val="subscript"/>
        <sz val="9"/>
        <color theme="1"/>
        <rFont val="Times New Roman"/>
        <family val="1"/>
      </rPr>
      <t>DM</t>
    </r>
    <r>
      <rPr>
        <sz val="9"/>
        <color theme="1"/>
        <rFont val="Times New Roman"/>
        <family val="1"/>
      </rPr>
      <t>)</t>
    </r>
  </si>
  <si>
    <r>
      <rPr>
        <b/>
        <sz val="10"/>
        <color theme="1"/>
        <rFont val="Times New Roman"/>
        <family val="1"/>
      </rPr>
      <t>N. 3)</t>
    </r>
    <r>
      <rPr>
        <sz val="10"/>
        <color theme="1"/>
        <rFont val="Times New Roman"/>
        <family val="1"/>
      </rPr>
      <t xml:space="preserve"> Proposed minimum discharge pressure is assumed to be the same as the measured minimum discharge pressure achieved during assessment.</t>
    </r>
  </si>
  <si>
    <t>Minimum Approach Temperature</t>
  </si>
  <si>
    <r>
      <rPr>
        <b/>
        <sz val="10"/>
        <rFont val="Times New Roman"/>
        <family val="1"/>
      </rPr>
      <t>Rf. 3)</t>
    </r>
    <r>
      <rPr>
        <sz val="10"/>
        <rFont val="Times New Roman"/>
        <family val="1"/>
      </rPr>
      <t xml:space="preserve"> Compressor energy savings factor from </t>
    </r>
    <r>
      <rPr>
        <i/>
        <sz val="10"/>
        <rFont val="Times New Roman"/>
        <family val="1"/>
      </rPr>
      <t>Industrial Refrigeration Best Practices Guide</t>
    </r>
    <r>
      <rPr>
        <sz val="10"/>
        <rFont val="Times New Roman"/>
        <family val="1"/>
      </rPr>
      <t>, Cascade Energy Engineering, December 2004</t>
    </r>
  </si>
  <si>
    <t>Refrigeration Discharge Pressure</t>
  </si>
  <si>
    <t xml:space="preserve">Refrigeration discharge temperature is determined by the condenser's capacity to reject heat. When the condensing pressure goes below a minimum pressure setting, selected by operators, condenser fans turn off. This reduces condenser capacity and prevents the temperature and associated pressure from going below the set point. Compressors require less energy to operate against low discharge pressures, but to reduce this discharge pressure, the condenser fans must operate more frequently. As condenser fans typically use significantly less energy than the compressor, reducing compressor use can lead to significant energy savings. Reducing compressor discharge pressure saves approximately 1% of compressor energy consumption for each degree Fahrenheit reduction of condensing temperature. </t>
  </si>
  <si>
    <t>Often there are specific applications that drive the need for high pressure set points. Below is a list of four common reasons for having such set points and how they can be fixed.</t>
  </si>
  <si>
    <t>1. Liquid Injection Cooling typically consumes 5-15% of the compressor power to recompress injected refrigerant and is used to cool the compressor. Install thermosyphon oil cooling to avoid power and energy costs associated with liquid injection oil cooling. Thermosyphon cooling does not consume compressor power.</t>
  </si>
  <si>
    <t>2. Expansion Device Design can lead to higher required discharge pressures. By looking into different designs, having your system evaluated and selecting components that operate well with lower discharge pressure, the efficiency of your refrigeration system can be improved.</t>
  </si>
  <si>
    <t>3. Moving Refrigerant to Distant Endpoints can lead to a need for higher discharge pressures to ensure refrigerant can reach its destination. By installing liquid pumps in the system, discharge pressure can be reduced while still serving the entire refrigeration system.</t>
  </si>
  <si>
    <t xml:space="preserve">4. Hot Gas Defrost is sometimes used to defrost evaporators as needed and requires a high discharge pressure. We suggest only raising the discharge pressure when needed for hot gas defrost and letting the discharge pressure drop lower otherwise, or using another defrost strategy such as applying warm process water. </t>
  </si>
  <si>
    <t>Check to make sure your facility does not require high pressure set points for special applications before making alterations to your process or equipment.</t>
  </si>
  <si>
    <r>
      <t>(F</t>
    </r>
    <r>
      <rPr>
        <vertAlign val="subscript"/>
        <sz val="9"/>
        <color theme="1"/>
        <rFont val="Times New Roman"/>
        <family val="1"/>
      </rPr>
      <t>%S</t>
    </r>
    <r>
      <rPr>
        <sz val="9"/>
        <color theme="1"/>
        <rFont val="Times New Roman"/>
        <family val="1"/>
      </rPr>
      <t>)</t>
    </r>
  </si>
  <si>
    <t>Insert Name</t>
  </si>
  <si>
    <t>Unmodified Template</t>
  </si>
  <si>
    <t>Annual Savings Summary</t>
  </si>
  <si>
    <t>Implementation Cost Summary</t>
  </si>
  <si>
    <t>Data Collection</t>
  </si>
  <si>
    <t>Orange Team Review</t>
  </si>
  <si>
    <t>Black Team Review</t>
  </si>
  <si>
    <t>The facility currently uses (insert compressor information here). During the site assessment, facility personnel explained (compressor operating conditions). (Talk about current set points). Motor information was collected for each system and is summarized in the following Motor Analysis Tool page.</t>
  </si>
  <si>
    <t>On-Off</t>
  </si>
  <si>
    <t>Compressor #1</t>
  </si>
  <si>
    <t>Condenser # 1</t>
  </si>
  <si>
    <r>
      <rPr>
        <sz val="9"/>
        <color theme="1"/>
        <rFont val="Times New Roman"/>
        <family val="1"/>
      </rPr>
      <t>(E</t>
    </r>
    <r>
      <rPr>
        <vertAlign val="subscript"/>
        <sz val="9"/>
        <color theme="1"/>
        <rFont val="Times New Roman"/>
        <family val="1"/>
      </rPr>
      <t>FT</t>
    </r>
    <r>
      <rPr>
        <sz val="9"/>
        <color theme="1"/>
        <rFont val="Times New Roman"/>
        <family val="1"/>
      </rPr>
      <t>)</t>
    </r>
    <r>
      <rPr>
        <b/>
        <sz val="9"/>
        <color theme="1"/>
        <rFont val="Times New Roman"/>
        <family val="1"/>
      </rPr>
      <t xml:space="preserve"> (N. 8)</t>
    </r>
  </si>
  <si>
    <r>
      <t xml:space="preserve">N. 8) </t>
    </r>
    <r>
      <rPr>
        <sz val="10"/>
        <color theme="1"/>
        <rFont val="Times New Roman"/>
        <family val="1"/>
      </rPr>
      <t xml:space="preserve">Summary of energy consumption for each condenser based on the Condenser Fan Summary table analysis. On-off controlled fans energy is based on the use factor and bin operation hours to develop the actual operation hours. The actual operation hours are not shown in the analysis. VSD controlled fan energy is based on the cube of weighted average use factor, representing fan speed instead of percentage of operation hours, and total system operation hours. </t>
    </r>
  </si>
  <si>
    <t>(S)</t>
  </si>
  <si>
    <t>(Eq. 5)</t>
  </si>
  <si>
    <t>Annual Cost Savings</t>
  </si>
  <si>
    <r>
      <rPr>
        <b/>
        <sz val="10"/>
        <color theme="1"/>
        <rFont val="Times New Roman"/>
        <family val="1"/>
      </rPr>
      <t>Eq. 4)</t>
    </r>
    <r>
      <rPr>
        <sz val="10"/>
        <color theme="1"/>
        <rFont val="Times New Roman"/>
        <family val="1"/>
      </rPr>
      <t xml:space="preserve"> Annual Cost Savings (S)</t>
    </r>
  </si>
  <si>
    <t>Simple Payback</t>
  </si>
  <si>
    <r>
      <rPr>
        <b/>
        <sz val="10"/>
        <color theme="1"/>
        <rFont val="Times New Roman"/>
        <family val="1"/>
      </rPr>
      <t>Eq. 5)</t>
    </r>
    <r>
      <rPr>
        <sz val="10"/>
        <color theme="1"/>
        <rFont val="Times New Roman"/>
        <family val="1"/>
      </rPr>
      <t xml:space="preserve"> Simple Payback (t</t>
    </r>
    <r>
      <rPr>
        <vertAlign val="subscript"/>
        <sz val="10"/>
        <color theme="1"/>
        <rFont val="Times New Roman"/>
        <family val="1"/>
      </rPr>
      <t>PB</t>
    </r>
    <r>
      <rPr>
        <sz val="10"/>
        <color theme="1"/>
        <rFont val="Times New Roman"/>
        <family val="1"/>
      </rPr>
      <t>)</t>
    </r>
  </si>
  <si>
    <r>
      <rPr>
        <b/>
        <sz val="10"/>
        <color theme="1"/>
        <rFont val="Times New Roman"/>
        <family val="1"/>
      </rPr>
      <t>Eq. 6)</t>
    </r>
    <r>
      <rPr>
        <sz val="10"/>
        <color theme="1"/>
        <rFont val="Times New Roman"/>
        <family val="1"/>
      </rPr>
      <t xml:space="preserve"> Power Draw (P</t>
    </r>
    <r>
      <rPr>
        <vertAlign val="subscript"/>
        <sz val="10"/>
        <color theme="1"/>
        <rFont val="Times New Roman"/>
        <family val="1"/>
      </rPr>
      <t>CC,FC</t>
    </r>
    <r>
      <rPr>
        <sz val="10"/>
        <color theme="1"/>
        <rFont val="Times New Roman"/>
        <family val="1"/>
      </rPr>
      <t>)</t>
    </r>
  </si>
  <si>
    <r>
      <rPr>
        <b/>
        <sz val="10"/>
        <color theme="1"/>
        <rFont val="Times New Roman"/>
        <family val="1"/>
      </rPr>
      <t>Eq. 7)</t>
    </r>
    <r>
      <rPr>
        <sz val="10"/>
        <color theme="1"/>
        <rFont val="Times New Roman"/>
        <family val="1"/>
      </rPr>
      <t xml:space="preserve"> Energy Consumption (E</t>
    </r>
    <r>
      <rPr>
        <vertAlign val="subscript"/>
        <sz val="10"/>
        <color theme="1"/>
        <rFont val="Times New Roman"/>
        <family val="1"/>
      </rPr>
      <t>CC</t>
    </r>
    <r>
      <rPr>
        <sz val="10"/>
        <color theme="1"/>
        <rFont val="Times New Roman"/>
        <family val="1"/>
      </rPr>
      <t>)</t>
    </r>
  </si>
  <si>
    <r>
      <rPr>
        <b/>
        <sz val="10"/>
        <color theme="1"/>
        <rFont val="Times New Roman"/>
        <family val="1"/>
      </rPr>
      <t>Eq. 8)</t>
    </r>
    <r>
      <rPr>
        <sz val="10"/>
        <color theme="1"/>
        <rFont val="Times New Roman"/>
        <family val="1"/>
      </rPr>
      <t xml:space="preserve"> Discharge Temperature (T</t>
    </r>
    <r>
      <rPr>
        <vertAlign val="subscript"/>
        <sz val="10"/>
        <color theme="1"/>
        <rFont val="Times New Roman"/>
        <family val="1"/>
      </rPr>
      <t>DC,DP</t>
    </r>
    <r>
      <rPr>
        <sz val="10"/>
        <color theme="1"/>
        <rFont val="Times New Roman"/>
        <family val="1"/>
      </rPr>
      <t>)</t>
    </r>
  </si>
  <si>
    <r>
      <rPr>
        <b/>
        <sz val="10"/>
        <color theme="1"/>
        <rFont val="Times New Roman"/>
        <family val="1"/>
      </rPr>
      <t>Eq. 9)</t>
    </r>
    <r>
      <rPr>
        <sz val="10"/>
        <color theme="1"/>
        <rFont val="Times New Roman"/>
        <family val="1"/>
      </rPr>
      <t xml:space="preserve"> Degree Hour Savings (H</t>
    </r>
    <r>
      <rPr>
        <vertAlign val="subscript"/>
        <sz val="10"/>
        <color theme="1"/>
        <rFont val="Times New Roman"/>
        <family val="1"/>
      </rPr>
      <t>S</t>
    </r>
    <r>
      <rPr>
        <sz val="10"/>
        <color theme="1"/>
        <rFont val="Times New Roman"/>
        <family val="1"/>
      </rPr>
      <t>)</t>
    </r>
  </si>
  <si>
    <r>
      <rPr>
        <b/>
        <sz val="10"/>
        <color theme="1"/>
        <rFont val="Times New Roman"/>
        <family val="1"/>
      </rPr>
      <t>Eq. 10)</t>
    </r>
    <r>
      <rPr>
        <sz val="10"/>
        <color theme="1"/>
        <rFont val="Times New Roman"/>
        <family val="1"/>
      </rPr>
      <t xml:space="preserve"> Percent Savings (E</t>
    </r>
    <r>
      <rPr>
        <vertAlign val="subscript"/>
        <sz val="10"/>
        <color theme="1"/>
        <rFont val="Times New Roman"/>
        <family val="1"/>
      </rPr>
      <t>%S</t>
    </r>
    <r>
      <rPr>
        <sz val="10"/>
        <color theme="1"/>
        <rFont val="Times New Roman"/>
        <family val="1"/>
      </rPr>
      <t>)</t>
    </r>
  </si>
  <si>
    <r>
      <rPr>
        <b/>
        <sz val="10"/>
        <color theme="1"/>
        <rFont val="Times New Roman"/>
        <family val="1"/>
      </rPr>
      <t>Eq. 11)</t>
    </r>
    <r>
      <rPr>
        <sz val="10"/>
        <color theme="1"/>
        <rFont val="Times New Roman"/>
        <family val="1"/>
      </rPr>
      <t xml:space="preserve"> Compressor Energy Savings (E</t>
    </r>
    <r>
      <rPr>
        <vertAlign val="subscript"/>
        <sz val="10"/>
        <color theme="1"/>
        <rFont val="Times New Roman"/>
        <family val="1"/>
      </rPr>
      <t>CS</t>
    </r>
    <r>
      <rPr>
        <sz val="10"/>
        <color theme="1"/>
        <rFont val="Times New Roman"/>
        <family val="1"/>
      </rPr>
      <t>)</t>
    </r>
  </si>
  <si>
    <r>
      <rPr>
        <sz val="9"/>
        <color theme="1"/>
        <rFont val="Times New Roman"/>
        <family val="1"/>
      </rPr>
      <t>(P</t>
    </r>
    <r>
      <rPr>
        <vertAlign val="subscript"/>
        <sz val="9"/>
        <color theme="1"/>
        <rFont val="Times New Roman"/>
        <family val="1"/>
      </rPr>
      <t>CC</t>
    </r>
    <r>
      <rPr>
        <sz val="9"/>
        <color theme="1"/>
        <rFont val="Times New Roman"/>
        <family val="1"/>
      </rPr>
      <t>)</t>
    </r>
    <r>
      <rPr>
        <b/>
        <sz val="9"/>
        <color theme="1"/>
        <rFont val="Times New Roman"/>
        <family val="1"/>
      </rPr>
      <t xml:space="preserve"> (Eq. 6)</t>
    </r>
  </si>
  <si>
    <r>
      <rPr>
        <sz val="9"/>
        <color theme="1"/>
        <rFont val="Times New Roman"/>
        <family val="1"/>
      </rPr>
      <t>(E</t>
    </r>
    <r>
      <rPr>
        <vertAlign val="subscript"/>
        <sz val="9"/>
        <color theme="1"/>
        <rFont val="Times New Roman"/>
        <family val="1"/>
      </rPr>
      <t>CC</t>
    </r>
    <r>
      <rPr>
        <sz val="9"/>
        <color theme="1"/>
        <rFont val="Times New Roman"/>
        <family val="1"/>
      </rPr>
      <t>)</t>
    </r>
    <r>
      <rPr>
        <b/>
        <sz val="9"/>
        <color theme="1"/>
        <rFont val="Times New Roman"/>
        <family val="1"/>
      </rPr>
      <t xml:space="preserve"> (Eq. 7)</t>
    </r>
  </si>
  <si>
    <r>
      <rPr>
        <sz val="9"/>
        <color theme="1"/>
        <rFont val="Times New Roman"/>
        <family val="1"/>
      </rPr>
      <t>(T</t>
    </r>
    <r>
      <rPr>
        <vertAlign val="subscript"/>
        <sz val="9"/>
        <color theme="1"/>
        <rFont val="Times New Roman"/>
        <family val="1"/>
      </rPr>
      <t>DC</t>
    </r>
    <r>
      <rPr>
        <sz val="9"/>
        <color theme="1"/>
        <rFont val="Times New Roman"/>
        <family val="1"/>
      </rPr>
      <t>)</t>
    </r>
    <r>
      <rPr>
        <b/>
        <sz val="9"/>
        <color theme="1"/>
        <rFont val="Times New Roman"/>
        <family val="1"/>
      </rPr>
      <t xml:space="preserve"> (Eq. 8)</t>
    </r>
  </si>
  <si>
    <r>
      <rPr>
        <sz val="9"/>
        <color theme="1"/>
        <rFont val="Times New Roman"/>
        <family val="1"/>
      </rPr>
      <t>(T</t>
    </r>
    <r>
      <rPr>
        <vertAlign val="subscript"/>
        <sz val="9"/>
        <color theme="1"/>
        <rFont val="Times New Roman"/>
        <family val="1"/>
      </rPr>
      <t>DP</t>
    </r>
    <r>
      <rPr>
        <sz val="9"/>
        <color theme="1"/>
        <rFont val="Times New Roman"/>
        <family val="1"/>
      </rPr>
      <t>)</t>
    </r>
    <r>
      <rPr>
        <b/>
        <sz val="9"/>
        <color theme="1"/>
        <rFont val="Times New Roman"/>
        <family val="1"/>
      </rPr>
      <t xml:space="preserve"> (Eq. 8)</t>
    </r>
  </si>
  <si>
    <r>
      <rPr>
        <sz val="9"/>
        <color theme="1"/>
        <rFont val="Times New Roman"/>
        <family val="1"/>
      </rPr>
      <t>(H</t>
    </r>
    <r>
      <rPr>
        <vertAlign val="subscript"/>
        <sz val="9"/>
        <color theme="1"/>
        <rFont val="Times New Roman"/>
        <family val="1"/>
      </rPr>
      <t>S</t>
    </r>
    <r>
      <rPr>
        <sz val="9"/>
        <color theme="1"/>
        <rFont val="Times New Roman"/>
        <family val="1"/>
      </rPr>
      <t>)</t>
    </r>
    <r>
      <rPr>
        <b/>
        <sz val="9"/>
        <color theme="1"/>
        <rFont val="Times New Roman"/>
        <family val="1"/>
      </rPr>
      <t xml:space="preserve"> (Eq. 9)</t>
    </r>
  </si>
  <si>
    <r>
      <rPr>
        <sz val="9"/>
        <color theme="1"/>
        <rFont val="Times New Roman"/>
        <family val="1"/>
      </rPr>
      <t>(E</t>
    </r>
    <r>
      <rPr>
        <vertAlign val="subscript"/>
        <sz val="9"/>
        <color theme="1"/>
        <rFont val="Times New Roman"/>
        <family val="1"/>
      </rPr>
      <t>%S</t>
    </r>
    <r>
      <rPr>
        <sz val="9"/>
        <color theme="1"/>
        <rFont val="Times New Roman"/>
        <family val="1"/>
      </rPr>
      <t>)</t>
    </r>
    <r>
      <rPr>
        <b/>
        <sz val="9"/>
        <color theme="1"/>
        <rFont val="Times New Roman"/>
        <family val="1"/>
      </rPr>
      <t xml:space="preserve"> (Eq. 10)</t>
    </r>
  </si>
  <si>
    <r>
      <rPr>
        <sz val="9"/>
        <color theme="1"/>
        <rFont val="Times New Roman"/>
        <family val="1"/>
      </rPr>
      <t>(E</t>
    </r>
    <r>
      <rPr>
        <vertAlign val="subscript"/>
        <sz val="9"/>
        <color theme="1"/>
        <rFont val="Times New Roman"/>
        <family val="1"/>
      </rPr>
      <t>CS</t>
    </r>
    <r>
      <rPr>
        <sz val="9"/>
        <color theme="1"/>
        <rFont val="Times New Roman"/>
        <family val="1"/>
      </rPr>
      <t>)</t>
    </r>
    <r>
      <rPr>
        <b/>
        <sz val="9"/>
        <color theme="1"/>
        <rFont val="Times New Roman"/>
        <family val="1"/>
      </rPr>
      <t xml:space="preserve"> (Eq. 11)</t>
    </r>
  </si>
  <si>
    <t>Use Factor</t>
  </si>
  <si>
    <t>Energy Use</t>
  </si>
  <si>
    <r>
      <rPr>
        <sz val="9"/>
        <color theme="1"/>
        <rFont val="Times New Roman"/>
        <family val="1"/>
      </rPr>
      <t>(P</t>
    </r>
    <r>
      <rPr>
        <vertAlign val="subscript"/>
        <sz val="9"/>
        <color theme="1"/>
        <rFont val="Times New Roman"/>
        <family val="1"/>
      </rPr>
      <t>FC</t>
    </r>
    <r>
      <rPr>
        <sz val="9"/>
        <color theme="1"/>
        <rFont val="Times New Roman"/>
        <family val="1"/>
      </rPr>
      <t>)</t>
    </r>
    <r>
      <rPr>
        <b/>
        <sz val="9"/>
        <color theme="1"/>
        <rFont val="Times New Roman"/>
        <family val="1"/>
      </rPr>
      <t xml:space="preserve"> (Eq. 6)</t>
    </r>
  </si>
  <si>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</si>
  <si>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</si>
  <si>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/year</t>
  </si>
  <si>
    <t>•</t>
  </si>
  <si>
    <t>DSIRE</t>
  </si>
  <si>
    <t>Great comprehensive federal, state, and utility incentives. Use filters to narrow search</t>
  </si>
  <si>
    <t>Washington Incentives</t>
  </si>
  <si>
    <t>Washington incentives.</t>
  </si>
  <si>
    <t>Energy Trust</t>
  </si>
  <si>
    <t>Energy Trust incentives for customers paying a public purpose charge</t>
  </si>
  <si>
    <t>Incentive Analysis Summary</t>
  </si>
  <si>
    <t>Incentive</t>
  </si>
  <si>
    <t>After Incentive</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</si>
  <si>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</si>
  <si>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</si>
  <si>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</si>
  <si>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</si>
  <si>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</si>
  <si>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</si>
  <si>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</si>
  <si>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</si>
  <si>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</si>
  <si>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</si>
  <si>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</si>
  <si>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</si>
  <si>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</si>
  <si>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</si>
  <si>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</si>
  <si>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</si>
  <si>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</si>
  <si>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</si>
  <si>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</si>
  <si>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</si>
  <si>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Refrigeration Discharge Pressure Template style 2015</t>
  </si>
  <si>
    <t>Payback (yrs)</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</si>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</sst>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quot;#,##0.00000"/>
    <numFmt numFmtId="169" formatCode="#,##0.000"/>
    <numFmt numFmtId="170" formatCode="0.00000%"/>
    <numFmt numFmtId="171" formatCode="&quot;$&quot;#,##0.00"/>
    <numFmt numFmtId="172" formatCode="#,##0.0000"/>
    <numFmt numFmtId="173" formatCode="#,##0.000000"/>
    <numFmt numFmtId="174" formatCode="&quot;$&quot;#,##0;[Red]\-&quot;$&quot;#,##0"/>
  </numFmts>
  <fonts count="48" x14ac:knownFonts="1">
    <font>
      <sz val="10"/>
      <color theme="1"/>
      <name val="Times New Roman"/>
      <family val="1"/>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sz val="9"/>
      <color theme="1"/>
      <name val="Calibri"/>
      <family val="2"/>
    </font>
    <font>
      <vertAlign val="subscript"/>
      <sz val="10"/>
      <color theme="1"/>
      <name val="Times New Roman"/>
      <family val="1"/>
    </font>
    <font>
      <i/>
      <sz val="8"/>
      <color theme="1"/>
      <name val="Times New Roman"/>
      <family val="1"/>
    </font>
    <font>
      <b/>
      <sz val="16"/>
      <name val="Times New Roman"/>
      <family val="1"/>
    </font>
    <font>
      <i/>
      <sz val="8"/>
      <color theme="1" tint="0.249977111117893"/>
      <name val="Times New Roman"/>
      <family val="1"/>
    </font>
    <font>
      <u/>
      <sz val="10"/>
      <color theme="10"/>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7">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auto="1"/>
      </top>
      <bottom style="thin">
        <color auto="1"/>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64">
    <xf numFmtId="3" fontId="0" fillId="0" borderId="0"/>
    <xf numFmtId="3" fontId="7" fillId="36" borderId="1">
      <alignment horizontal="right" vertical="center"/>
      <protection locked="0"/>
    </xf>
    <xf numFmtId="9" fontId="2" fillId="0" borderId="0" applyFont="0" applyFill="0" applyBorder="0" applyAlignment="0" applyProtection="0"/>
    <xf numFmtId="0" fontId="5" fillId="2" borderId="1">
      <alignment horizontal="left" vertical="center" indent="1"/>
    </xf>
    <xf numFmtId="0" fontId="8" fillId="0" borderId="2">
      <alignment vertical="center"/>
    </xf>
    <xf numFmtId="0" fontId="9" fillId="0" borderId="3">
      <alignment vertical="center"/>
    </xf>
    <xf numFmtId="0" fontId="10" fillId="0" borderId="0">
      <alignment horizontal="left" vertical="center" indent="1"/>
    </xf>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4" applyNumberFormat="0" applyAlignment="0" applyProtection="0"/>
    <xf numFmtId="0" fontId="16" fillId="7" borderId="5" applyNumberFormat="0" applyAlignment="0" applyProtection="0"/>
    <xf numFmtId="0" fontId="17" fillId="7" borderId="4" applyNumberFormat="0" applyAlignment="0" applyProtection="0"/>
    <xf numFmtId="0" fontId="18" fillId="0" borderId="6" applyNumberFormat="0" applyFill="0" applyAlignment="0" applyProtection="0"/>
    <xf numFmtId="0" fontId="19" fillId="8" borderId="7" applyNumberFormat="0" applyAlignment="0" applyProtection="0"/>
    <xf numFmtId="0" fontId="20" fillId="0" borderId="0" applyNumberFormat="0" applyFill="0" applyBorder="0" applyAlignment="0" applyProtection="0"/>
    <xf numFmtId="0" fontId="2" fillId="9" borderId="8" applyNumberFormat="0" applyFont="0" applyAlignment="0" applyProtection="0"/>
    <xf numFmtId="0" fontId="21" fillId="0" borderId="0" applyNumberFormat="0" applyFill="0" applyBorder="0" applyAlignment="0" applyProtection="0"/>
    <xf numFmtId="0" fontId="3" fillId="0" borderId="9" applyNumberFormat="0" applyFill="0" applyAlignment="0" applyProtection="0"/>
    <xf numFmtId="3" fontId="6" fillId="0" borderId="0">
      <alignment horizontal="right" vertical="center"/>
    </xf>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2" fillId="33" borderId="0" applyNumberFormat="0" applyBorder="0" applyAlignment="0" applyProtection="0"/>
    <xf numFmtId="0" fontId="23" fillId="0" borderId="0">
      <alignment horizontal="left" vertical="center"/>
    </xf>
    <xf numFmtId="0" fontId="23" fillId="0" borderId="0">
      <alignment horizontal="right" vertical="center"/>
    </xf>
    <xf numFmtId="0" fontId="33" fillId="0" borderId="0">
      <alignment horizontal="right" vertical="center"/>
    </xf>
    <xf numFmtId="0" fontId="24" fillId="0" borderId="10">
      <alignment horizontal="left" vertical="center" indent="1"/>
    </xf>
    <xf numFmtId="0" fontId="26" fillId="0" borderId="0"/>
    <xf numFmtId="0" fontId="25" fillId="0" borderId="0">
      <alignment vertical="top" wrapText="1"/>
    </xf>
    <xf numFmtId="43" fontId="28" fillId="0" borderId="0" applyFont="0" applyFill="0" applyBorder="0" applyAlignment="0" applyProtection="0"/>
    <xf numFmtId="0" fontId="31" fillId="0" borderId="0" applyNumberFormat="0" applyFill="0" applyBorder="0" applyProtection="0"/>
    <xf numFmtId="3" fontId="10" fillId="0" borderId="0">
      <alignment horizontal="right" vertical="center"/>
    </xf>
    <xf numFmtId="3" fontId="32" fillId="0" borderId="10">
      <alignment horizontal="left" vertical="center" indent="1"/>
    </xf>
    <xf numFmtId="3" fontId="26" fillId="0" borderId="0" applyFont="0" applyFill="0" applyBorder="0" applyAlignment="0" applyProtection="0"/>
    <xf numFmtId="9" fontId="26" fillId="0" borderId="0" applyFont="0" applyFill="0" applyBorder="0" applyAlignment="0" applyProtection="0"/>
    <xf numFmtId="165" fontId="26" fillId="0" borderId="0" applyFont="0" applyFill="0" applyBorder="0" applyAlignment="0" applyProtection="0"/>
    <xf numFmtId="3" fontId="40" fillId="0" borderId="0" applyNumberFormat="0" applyFill="0" applyBorder="0" applyAlignment="0" applyProtection="0"/>
    <xf numFmtId="174" fontId="1" fillId="0" borderId="0" applyFont="0" applyFill="0" applyBorder="0" applyAlignment="0" applyProtection="0"/>
  </cellStyleXfs>
  <cellXfs count="269">
    <xf numFmtId="3" fontId="0" fillId="0" borderId="0" xfId="0"/>
    <xf numFmtId="3" fontId="0" fillId="0" borderId="0" xfId="0" applyAlignment="1" applyProtection="1">
      <alignment vertical="center"/>
    </xf>
    <xf numFmtId="3" fontId="4" fillId="0" borderId="0" xfId="0" applyFont="1" applyAlignment="1" applyProtection="1">
      <alignment vertical="center"/>
    </xf>
    <xf numFmtId="0" fontId="8" fillId="0" borderId="2" xfId="4">
      <alignment vertical="center"/>
    </xf>
    <xf numFmtId="3" fontId="25" fillId="0" borderId="0" xfId="0" applyFont="1" applyAlignment="1">
      <alignment horizontal="left" vertical="top" wrapText="1"/>
    </xf>
    <xf numFmtId="3" fontId="0" fillId="0" borderId="0" xfId="0" applyAlignment="1">
      <alignment vertical="top"/>
    </xf>
    <xf numFmtId="0" fontId="9" fillId="0" borderId="3" xfId="5">
      <alignment vertical="center"/>
    </xf>
    <xf numFmtId="0" fontId="33" fillId="0" borderId="0" xfId="51">
      <alignment horizontal="right" vertical="center"/>
    </xf>
    <xf numFmtId="3" fontId="26" fillId="0" borderId="0" xfId="0" applyFont="1" applyFill="1" applyProtection="1"/>
    <xf numFmtId="3" fontId="24" fillId="35" borderId="14" xfId="0" applyFont="1" applyFill="1" applyBorder="1" applyAlignment="1" applyProtection="1">
      <alignment horizontal="center" vertical="center"/>
    </xf>
    <xf numFmtId="3" fontId="24" fillId="35" borderId="15" xfId="0" applyFont="1" applyFill="1" applyBorder="1" applyAlignment="1" applyProtection="1">
      <alignment horizontal="center" vertical="center"/>
    </xf>
    <xf numFmtId="3" fontId="24" fillId="35" borderId="16" xfId="0" applyFont="1" applyFill="1" applyBorder="1" applyAlignment="1" applyProtection="1">
      <alignment horizontal="center" vertical="center"/>
    </xf>
    <xf numFmtId="3" fontId="10" fillId="0" borderId="17" xfId="0" applyFont="1" applyFill="1" applyBorder="1" applyAlignment="1" applyProtection="1">
      <alignment horizontal="center" vertical="center" wrapText="1"/>
    </xf>
    <xf numFmtId="3" fontId="26" fillId="0" borderId="1" xfId="0" applyFont="1" applyFill="1" applyBorder="1" applyAlignment="1" applyProtection="1">
      <alignment horizontal="center" vertical="center" wrapText="1"/>
    </xf>
    <xf numFmtId="3" fontId="26" fillId="0" borderId="18" xfId="0" applyFont="1" applyFill="1" applyBorder="1" applyAlignment="1" applyProtection="1">
      <alignment horizontal="center" vertical="center" wrapText="1"/>
    </xf>
    <xf numFmtId="3" fontId="10" fillId="0" borderId="19" xfId="0" applyFont="1" applyFill="1" applyBorder="1" applyAlignment="1" applyProtection="1">
      <alignment horizontal="center" vertical="center" wrapText="1"/>
    </xf>
    <xf numFmtId="3" fontId="26" fillId="0" borderId="20" xfId="0" applyFont="1" applyFill="1" applyBorder="1" applyAlignment="1" applyProtection="1">
      <alignment horizontal="center" vertical="center" wrapText="1"/>
    </xf>
    <xf numFmtId="9" fontId="26" fillId="0" borderId="21" xfId="0" applyNumberFormat="1" applyFont="1" applyFill="1" applyBorder="1" applyAlignment="1" applyProtection="1">
      <alignment horizontal="center" vertical="center" wrapText="1"/>
    </xf>
    <xf numFmtId="3" fontId="24" fillId="35" borderId="16" xfId="0" applyFont="1" applyFill="1" applyBorder="1" applyAlignment="1" applyProtection="1">
      <alignment vertical="center"/>
    </xf>
    <xf numFmtId="3" fontId="26" fillId="0" borderId="17" xfId="0" applyFont="1" applyFill="1" applyBorder="1" applyAlignment="1" applyProtection="1">
      <alignment horizontal="center" vertical="center" wrapText="1"/>
    </xf>
    <xf numFmtId="3" fontId="26" fillId="0" borderId="18" xfId="0" applyFont="1" applyFill="1" applyBorder="1" applyAlignment="1" applyProtection="1">
      <alignment vertical="center" wrapText="1"/>
    </xf>
    <xf numFmtId="3" fontId="26" fillId="0" borderId="19" xfId="0" applyFont="1" applyFill="1" applyBorder="1" applyAlignment="1" applyProtection="1">
      <alignment horizontal="center" vertical="center" wrapText="1"/>
    </xf>
    <xf numFmtId="3" fontId="26" fillId="0" borderId="21" xfId="0" applyFont="1" applyFill="1" applyBorder="1" applyAlignment="1" applyProtection="1">
      <alignment vertical="center" wrapText="1"/>
    </xf>
    <xf numFmtId="3" fontId="26" fillId="0" borderId="0" xfId="0" applyFont="1" applyFill="1" applyAlignment="1" applyProtection="1">
      <alignment vertical="center"/>
    </xf>
    <xf numFmtId="3" fontId="29" fillId="0" borderId="0" xfId="0" applyFont="1" applyAlignment="1" applyProtection="1"/>
    <xf numFmtId="3" fontId="26" fillId="0" borderId="0" xfId="0" applyFont="1" applyAlignment="1" applyProtection="1"/>
    <xf numFmtId="3" fontId="26" fillId="0" borderId="0" xfId="0" applyFont="1" applyProtection="1"/>
    <xf numFmtId="3" fontId="10" fillId="35" borderId="14" xfId="0" applyFont="1" applyFill="1" applyBorder="1" applyAlignment="1" applyProtection="1">
      <alignment horizontal="center" vertical="center" wrapText="1"/>
    </xf>
    <xf numFmtId="3" fontId="10" fillId="35" borderId="16" xfId="0" applyFont="1" applyFill="1" applyBorder="1" applyAlignment="1" applyProtection="1">
      <alignment horizontal="center" vertical="center" wrapText="1"/>
    </xf>
    <xf numFmtId="3" fontId="26" fillId="0" borderId="17" xfId="0" applyFont="1" applyBorder="1" applyAlignment="1" applyProtection="1">
      <alignment horizontal="center" vertical="center" wrapText="1"/>
    </xf>
    <xf numFmtId="3" fontId="26" fillId="0" borderId="19" xfId="0" applyFont="1" applyBorder="1" applyAlignment="1" applyProtection="1">
      <alignment horizontal="center" vertical="center" wrapText="1"/>
    </xf>
    <xf numFmtId="3" fontId="30" fillId="0" borderId="0" xfId="0" applyFont="1" applyProtection="1"/>
    <xf numFmtId="3" fontId="26" fillId="0" borderId="0" xfId="0" applyFont="1" applyBorder="1" applyProtection="1"/>
    <xf numFmtId="3" fontId="26" fillId="0" borderId="18" xfId="0" applyFont="1" applyBorder="1" applyAlignment="1" applyProtection="1">
      <alignment horizontal="left" vertical="center" wrapText="1"/>
    </xf>
    <xf numFmtId="3" fontId="26" fillId="0" borderId="21" xfId="0" applyFont="1" applyBorder="1" applyAlignment="1" applyProtection="1">
      <alignment horizontal="left" vertical="center" wrapText="1"/>
    </xf>
    <xf numFmtId="3" fontId="0" fillId="0" borderId="0" xfId="0"/>
    <xf numFmtId="0" fontId="8" fillId="0" borderId="0" xfId="4" applyBorder="1">
      <alignment vertical="center"/>
    </xf>
    <xf numFmtId="3" fontId="0" fillId="0" borderId="0" xfId="0" applyBorder="1"/>
    <xf numFmtId="0" fontId="10" fillId="0" borderId="0" xfId="6" applyBorder="1">
      <alignment horizontal="left" vertical="center" indent="1"/>
    </xf>
    <xf numFmtId="3" fontId="0" fillId="0" borderId="0" xfId="0" applyNumberFormat="1" applyBorder="1" applyAlignment="1">
      <alignment horizontal="right" indent="1"/>
    </xf>
    <xf numFmtId="165" fontId="0" fillId="0" borderId="0" xfId="0" applyNumberFormat="1" applyBorder="1" applyAlignment="1">
      <alignment horizontal="right" indent="1"/>
    </xf>
    <xf numFmtId="0" fontId="0" fillId="0" borderId="0" xfId="53" applyFont="1"/>
    <xf numFmtId="0" fontId="10" fillId="0" borderId="0" xfId="6">
      <alignment horizontal="left" vertical="center" indent="1"/>
    </xf>
    <xf numFmtId="0" fontId="10" fillId="0" borderId="0" xfId="6">
      <alignment horizontal="left" vertical="center" indent="1"/>
    </xf>
    <xf numFmtId="0" fontId="26" fillId="0" borderId="0" xfId="53"/>
    <xf numFmtId="3" fontId="7" fillId="36" borderId="1" xfId="1">
      <alignment horizontal="right" vertical="center"/>
      <protection locked="0"/>
    </xf>
    <xf numFmtId="3" fontId="6" fillId="0" borderId="0" xfId="20">
      <alignment horizontal="right" vertical="center"/>
    </xf>
    <xf numFmtId="0" fontId="10" fillId="0" borderId="0" xfId="6">
      <alignment horizontal="left" vertical="center" indent="1"/>
    </xf>
    <xf numFmtId="3" fontId="24" fillId="0" borderId="10" xfId="52" applyNumberFormat="1" applyAlignment="1">
      <alignment horizontal="right" vertical="center" indent="1"/>
    </xf>
    <xf numFmtId="0" fontId="9" fillId="0" borderId="3" xfId="5" applyAlignment="1">
      <alignment horizontal="center" vertical="center"/>
    </xf>
    <xf numFmtId="0" fontId="9" fillId="0" borderId="3" xfId="5" applyAlignment="1">
      <alignment horizontal="left" vertical="center"/>
    </xf>
    <xf numFmtId="167" fontId="6" fillId="0" borderId="0" xfId="20" applyNumberFormat="1" applyAlignment="1">
      <alignment horizontal="center" vertical="center"/>
    </xf>
    <xf numFmtId="0" fontId="10" fillId="0" borderId="2" xfId="6" applyBorder="1">
      <alignment horizontal="left" vertical="center" indent="1"/>
    </xf>
    <xf numFmtId="167" fontId="6" fillId="0" borderId="2" xfId="20" applyNumberFormat="1" applyBorder="1" applyAlignment="1">
      <alignment horizontal="center" vertical="center"/>
    </xf>
    <xf numFmtId="0" fontId="23" fillId="0" borderId="0" xfId="50">
      <alignment horizontal="right" vertical="center"/>
    </xf>
    <xf numFmtId="0" fontId="23" fillId="0" borderId="0" xfId="49">
      <alignment horizontal="left" vertical="center"/>
    </xf>
    <xf numFmtId="167" fontId="7" fillId="36" borderId="1" xfId="1" applyNumberFormat="1">
      <alignment horizontal="right" vertical="center"/>
      <protection locked="0"/>
    </xf>
    <xf numFmtId="167" fontId="6" fillId="0" borderId="0" xfId="20" applyNumberFormat="1">
      <alignment horizontal="right" vertical="center"/>
    </xf>
    <xf numFmtId="0" fontId="0" fillId="0" borderId="0" xfId="53" applyFont="1" applyAlignment="1">
      <alignment vertical="center"/>
    </xf>
    <xf numFmtId="168" fontId="7" fillId="36" borderId="1" xfId="61" applyNumberFormat="1" applyFont="1" applyFill="1" applyBorder="1" applyAlignment="1" applyProtection="1">
      <alignment horizontal="right" vertical="center"/>
      <protection locked="0"/>
    </xf>
    <xf numFmtId="166" fontId="7" fillId="36" borderId="1" xfId="60" applyNumberFormat="1" applyFont="1" applyFill="1" applyBorder="1" applyAlignment="1" applyProtection="1">
      <alignment horizontal="right" vertical="center"/>
      <protection locked="0"/>
    </xf>
    <xf numFmtId="0" fontId="9" fillId="0" borderId="0" xfId="5" applyBorder="1" applyAlignment="1">
      <alignment horizontal="center" vertical="center"/>
    </xf>
    <xf numFmtId="166" fontId="7" fillId="36" borderId="1" xfId="60" applyNumberFormat="1" applyFont="1" applyFill="1" applyBorder="1" applyAlignment="1" applyProtection="1">
      <alignment horizontal="center" vertical="center"/>
      <protection locked="0"/>
    </xf>
    <xf numFmtId="0" fontId="10" fillId="0" borderId="10" xfId="52" applyFont="1">
      <alignment horizontal="left" vertical="center" indent="1"/>
    </xf>
    <xf numFmtId="3" fontId="7" fillId="36" borderId="1" xfId="59" applyFont="1" applyFill="1" applyBorder="1" applyAlignment="1" applyProtection="1">
      <alignment horizontal="center" vertical="center"/>
      <protection locked="0"/>
    </xf>
    <xf numFmtId="3" fontId="24" fillId="0" borderId="10" xfId="59" applyFont="1" applyBorder="1" applyAlignment="1">
      <alignment horizontal="center" vertical="center"/>
    </xf>
    <xf numFmtId="3" fontId="6" fillId="0" borderId="0" xfId="20" applyAlignment="1">
      <alignment horizontal="right" vertical="center" indent="1"/>
    </xf>
    <xf numFmtId="0" fontId="24" fillId="0" borderId="10" xfId="52" applyAlignment="1">
      <alignment horizontal="right" vertical="center" indent="2"/>
    </xf>
    <xf numFmtId="3" fontId="24" fillId="0" borderId="10" xfId="52" applyNumberFormat="1" applyAlignment="1">
      <alignment horizontal="right" vertical="center" indent="2"/>
    </xf>
    <xf numFmtId="167" fontId="7" fillId="36" borderId="1" xfId="1" applyNumberFormat="1" applyAlignment="1">
      <alignment horizontal="right" vertical="center" indent="2"/>
      <protection locked="0"/>
    </xf>
    <xf numFmtId="3" fontId="7" fillId="36" borderId="1" xfId="1" applyAlignment="1">
      <alignment horizontal="right" vertical="center" indent="2"/>
      <protection locked="0"/>
    </xf>
    <xf numFmtId="167" fontId="6" fillId="0" borderId="0" xfId="20" applyNumberFormat="1" applyAlignment="1">
      <alignment horizontal="right" vertical="center" indent="2"/>
    </xf>
    <xf numFmtId="3" fontId="6" fillId="0" borderId="0" xfId="20" applyAlignment="1">
      <alignment horizontal="right" vertical="center" indent="2"/>
    </xf>
    <xf numFmtId="166" fontId="6" fillId="0" borderId="0" xfId="60" applyNumberFormat="1" applyFont="1" applyAlignment="1">
      <alignment horizontal="right" vertical="center" indent="2"/>
    </xf>
    <xf numFmtId="0" fontId="24" fillId="0" borderId="10" xfId="52" applyAlignment="1">
      <alignment horizontal="right" vertical="center" indent="3"/>
    </xf>
    <xf numFmtId="0" fontId="10" fillId="0" borderId="10" xfId="52" applyFont="1" applyAlignment="1">
      <alignment horizontal="center" vertical="center"/>
    </xf>
    <xf numFmtId="0" fontId="9" fillId="0" borderId="12" xfId="5" applyBorder="1" applyAlignment="1">
      <alignment horizontal="center" vertical="center"/>
    </xf>
    <xf numFmtId="0" fontId="33" fillId="0" borderId="0" xfId="51" applyAlignment="1">
      <alignment horizontal="center" vertical="center"/>
    </xf>
    <xf numFmtId="0" fontId="33" fillId="0" borderId="3" xfId="51" applyBorder="1" applyAlignment="1">
      <alignment horizontal="center" vertical="center"/>
    </xf>
    <xf numFmtId="0" fontId="24" fillId="0" borderId="0" xfId="52" applyBorder="1">
      <alignment horizontal="left" vertical="center" indent="1"/>
    </xf>
    <xf numFmtId="3" fontId="24" fillId="0" borderId="0" xfId="59" applyFont="1" applyBorder="1" applyAlignment="1">
      <alignment horizontal="center" vertical="center"/>
    </xf>
    <xf numFmtId="166" fontId="24" fillId="0" borderId="0" xfId="52" applyNumberFormat="1" applyBorder="1" applyAlignment="1">
      <alignment horizontal="center" vertical="center"/>
    </xf>
    <xf numFmtId="3" fontId="24" fillId="0" borderId="0" xfId="52" applyNumberFormat="1" applyBorder="1" applyAlignment="1">
      <alignment horizontal="center" vertical="center"/>
    </xf>
    <xf numFmtId="167" fontId="24" fillId="0" borderId="0" xfId="52" applyNumberFormat="1" applyBorder="1" applyAlignment="1">
      <alignment horizontal="right" vertical="center" indent="2"/>
    </xf>
    <xf numFmtId="3" fontId="24" fillId="0" borderId="0" xfId="52" applyNumberFormat="1" applyBorder="1" applyAlignment="1">
      <alignment horizontal="right" vertical="center" indent="1"/>
    </xf>
    <xf numFmtId="0" fontId="24" fillId="0" borderId="10" xfId="52" applyBorder="1">
      <alignment horizontal="left" vertical="center" indent="1"/>
    </xf>
    <xf numFmtId="166" fontId="24" fillId="0" borderId="10" xfId="52" applyNumberFormat="1" applyBorder="1" applyAlignment="1">
      <alignment horizontal="center" vertical="center"/>
    </xf>
    <xf numFmtId="3" fontId="24" fillId="0" borderId="10" xfId="52" applyNumberFormat="1" applyBorder="1" applyAlignment="1">
      <alignment horizontal="center" vertical="center"/>
    </xf>
    <xf numFmtId="167" fontId="24" fillId="0" borderId="10" xfId="52" applyNumberFormat="1" applyBorder="1" applyAlignment="1">
      <alignment horizontal="right" vertical="center" indent="2"/>
    </xf>
    <xf numFmtId="3" fontId="24" fillId="0" borderId="10" xfId="52" applyNumberFormat="1" applyBorder="1" applyAlignment="1">
      <alignment horizontal="right" vertical="center" indent="1"/>
    </xf>
    <xf numFmtId="0" fontId="10" fillId="0" borderId="0" xfId="6">
      <alignment horizontal="left" vertical="center" indent="1"/>
    </xf>
    <xf numFmtId="0" fontId="9" fillId="0" borderId="12" xfId="5" applyBorder="1" applyAlignment="1">
      <alignment horizontal="center" vertical="center"/>
    </xf>
    <xf numFmtId="167" fontId="6" fillId="35" borderId="0" xfId="20" applyNumberFormat="1" applyFill="1" applyAlignment="1">
      <alignment horizontal="right" vertical="center" indent="2"/>
    </xf>
    <xf numFmtId="3" fontId="6" fillId="35" borderId="0" xfId="20" applyFill="1" applyAlignment="1">
      <alignment horizontal="right" vertical="center" indent="2"/>
    </xf>
    <xf numFmtId="166" fontId="6" fillId="35" borderId="0" xfId="60" applyNumberFormat="1" applyFont="1" applyFill="1" applyAlignment="1">
      <alignment horizontal="right" vertical="center" indent="2"/>
    </xf>
    <xf numFmtId="3" fontId="6" fillId="35" borderId="0" xfId="20" applyFill="1" applyAlignment="1">
      <alignment horizontal="right" vertical="center" indent="1"/>
    </xf>
    <xf numFmtId="0" fontId="10" fillId="0" borderId="0" xfId="6">
      <alignment horizontal="left" vertical="center" indent="1"/>
    </xf>
    <xf numFmtId="3" fontId="6" fillId="35" borderId="0" xfId="59" applyFont="1" applyFill="1" applyAlignment="1">
      <alignment horizontal="right" vertical="center" indent="2"/>
    </xf>
    <xf numFmtId="3" fontId="6" fillId="0" borderId="0" xfId="59" applyFont="1" applyAlignment="1">
      <alignment horizontal="right" vertical="center" indent="2"/>
    </xf>
    <xf numFmtId="167" fontId="6" fillId="35" borderId="0" xfId="20" applyNumberFormat="1" applyFill="1" applyAlignment="1">
      <alignment horizontal="right" vertical="center" indent="1"/>
    </xf>
    <xf numFmtId="3" fontId="24" fillId="0" borderId="10" xfId="59" applyFont="1" applyBorder="1" applyAlignment="1">
      <alignment horizontal="right" vertical="center" indent="2"/>
    </xf>
    <xf numFmtId="3" fontId="24" fillId="0" borderId="10" xfId="59" applyFont="1" applyBorder="1" applyAlignment="1">
      <alignment horizontal="right" vertical="center" indent="1"/>
    </xf>
    <xf numFmtId="0" fontId="23" fillId="0" borderId="0" xfId="50" applyAlignment="1">
      <alignment horizontal="right" vertical="center"/>
    </xf>
    <xf numFmtId="165" fontId="6" fillId="0" borderId="0" xfId="61" applyFont="1" applyAlignment="1">
      <alignment horizontal="right" vertical="center"/>
    </xf>
    <xf numFmtId="0" fontId="23" fillId="0" borderId="0" xfId="49" applyAlignment="1">
      <alignment horizontal="left" vertical="center"/>
    </xf>
    <xf numFmtId="167" fontId="6" fillId="0" borderId="0" xfId="20" applyNumberFormat="1" applyAlignment="1">
      <alignment horizontal="right" vertical="center"/>
    </xf>
    <xf numFmtId="0" fontId="25" fillId="0" borderId="0" xfId="54">
      <alignment vertical="top" wrapText="1"/>
    </xf>
    <xf numFmtId="3" fontId="0" fillId="0" borderId="0" xfId="0"/>
    <xf numFmtId="0" fontId="10" fillId="0" borderId="0" xfId="6">
      <alignment horizontal="left" vertical="center" indent="1"/>
    </xf>
    <xf numFmtId="166" fontId="7" fillId="36" borderId="1" xfId="60" applyNumberFormat="1" applyFont="1" applyFill="1" applyBorder="1" applyAlignment="1" applyProtection="1">
      <alignment horizontal="right" vertical="center" indent="2"/>
      <protection locked="0"/>
    </xf>
    <xf numFmtId="3" fontId="0" fillId="0" borderId="0" xfId="0" applyAlignment="1">
      <alignment vertical="center"/>
    </xf>
    <xf numFmtId="10" fontId="6" fillId="35" borderId="0" xfId="60" applyNumberFormat="1" applyFont="1" applyFill="1" applyAlignment="1">
      <alignment horizontal="right" vertical="center" indent="2"/>
    </xf>
    <xf numFmtId="10" fontId="6" fillId="0" borderId="0" xfId="60" applyNumberFormat="1" applyFont="1" applyAlignment="1">
      <alignment horizontal="right" vertical="center" indent="2"/>
    </xf>
    <xf numFmtId="10" fontId="24" fillId="0" borderId="10" xfId="52" applyNumberFormat="1" applyAlignment="1">
      <alignment horizontal="right" vertical="center" indent="2"/>
    </xf>
    <xf numFmtId="3" fontId="0" fillId="0" borderId="0" xfId="0" applyAlignment="1">
      <alignment vertical="center" wrapText="1"/>
    </xf>
    <xf numFmtId="3" fontId="0" fillId="0" borderId="0" xfId="0"/>
    <xf numFmtId="3" fontId="7" fillId="36" borderId="1" xfId="1" applyAlignment="1">
      <alignment horizontal="center" vertical="center"/>
      <protection locked="0"/>
    </xf>
    <xf numFmtId="3" fontId="6" fillId="0" borderId="0" xfId="20" applyAlignment="1">
      <alignment horizontal="center" vertical="center"/>
    </xf>
    <xf numFmtId="0" fontId="9" fillId="0" borderId="3" xfId="5" applyAlignment="1">
      <alignment horizontal="center" vertical="center" wrapText="1"/>
    </xf>
    <xf numFmtId="3" fontId="0" fillId="0" borderId="0" xfId="0"/>
    <xf numFmtId="3" fontId="0" fillId="0" borderId="12" xfId="0" applyBorder="1"/>
    <xf numFmtId="0" fontId="10" fillId="0" borderId="12" xfId="6" applyBorder="1">
      <alignment horizontal="left" vertical="center" indent="1"/>
    </xf>
    <xf numFmtId="0" fontId="7" fillId="36" borderId="1" xfId="1" applyNumberFormat="1" applyAlignment="1">
      <alignment horizontal="center" vertical="center"/>
      <protection locked="0"/>
    </xf>
    <xf numFmtId="0" fontId="25" fillId="0" borderId="0" xfId="54">
      <alignment vertical="top" wrapText="1"/>
    </xf>
    <xf numFmtId="3" fontId="0" fillId="0" borderId="0" xfId="0"/>
    <xf numFmtId="0" fontId="25" fillId="0" borderId="0" xfId="54">
      <alignment vertical="top" wrapText="1"/>
    </xf>
    <xf numFmtId="166" fontId="0" fillId="0" borderId="0" xfId="60" applyNumberFormat="1" applyFont="1" applyAlignment="1" applyProtection="1">
      <alignment vertical="center"/>
    </xf>
    <xf numFmtId="2" fontId="0" fillId="0" borderId="0" xfId="60" applyNumberFormat="1" applyFont="1" applyAlignment="1" applyProtection="1">
      <alignment vertical="center"/>
    </xf>
    <xf numFmtId="170" fontId="0" fillId="0" borderId="0" xfId="60" applyNumberFormat="1" applyFont="1" applyAlignment="1" applyProtection="1">
      <alignment vertical="center"/>
    </xf>
    <xf numFmtId="167" fontId="6" fillId="0" borderId="0" xfId="20" applyNumberFormat="1" applyAlignment="1">
      <alignment horizontal="right" vertical="center" indent="1"/>
    </xf>
    <xf numFmtId="3" fontId="0" fillId="0" borderId="0" xfId="59" applyFont="1" applyAlignment="1" applyProtection="1">
      <alignment vertical="center"/>
    </xf>
    <xf numFmtId="169" fontId="24" fillId="0" borderId="10" xfId="52" applyNumberFormat="1" applyBorder="1" applyAlignment="1">
      <alignment horizontal="right" vertical="center" indent="1"/>
    </xf>
    <xf numFmtId="171" fontId="26" fillId="0" borderId="0" xfId="53" applyNumberFormat="1"/>
    <xf numFmtId="167" fontId="24" fillId="0" borderId="10" xfId="59" applyNumberFormat="1" applyFont="1" applyBorder="1" applyAlignment="1">
      <alignment horizontal="right" vertical="center" indent="1"/>
    </xf>
    <xf numFmtId="172" fontId="0" fillId="0" borderId="0" xfId="59" applyNumberFormat="1" applyFont="1" applyAlignment="1" applyProtection="1">
      <alignment vertical="center"/>
    </xf>
    <xf numFmtId="172" fontId="0" fillId="0" borderId="0" xfId="0" applyNumberFormat="1" applyAlignment="1" applyProtection="1">
      <alignment vertical="center"/>
    </xf>
    <xf numFmtId="173" fontId="0" fillId="0" borderId="0" xfId="0" applyNumberFormat="1" applyAlignment="1" applyProtection="1">
      <alignment vertical="center"/>
    </xf>
    <xf numFmtId="0" fontId="10" fillId="0" borderId="0" xfId="6">
      <alignment horizontal="left" vertical="center" indent="1"/>
    </xf>
    <xf numFmtId="3" fontId="0" fillId="0" borderId="0" xfId="0"/>
    <xf numFmtId="0" fontId="25" fillId="0" borderId="0" xfId="54">
      <alignment vertical="top" wrapText="1"/>
    </xf>
    <xf numFmtId="0" fontId="9" fillId="0" borderId="3" xfId="5" applyBorder="1" applyAlignment="1">
      <alignment horizontal="center" vertical="center"/>
    </xf>
    <xf numFmtId="0" fontId="9" fillId="0" borderId="3" xfId="5" applyBorder="1" applyAlignment="1">
      <alignment horizontal="left" vertical="center"/>
    </xf>
    <xf numFmtId="0" fontId="29" fillId="0" borderId="0" xfId="53" applyFont="1" applyAlignment="1">
      <alignment vertical="top" wrapText="1"/>
    </xf>
    <xf numFmtId="0" fontId="8" fillId="0" borderId="2" xfId="4" applyAlignment="1">
      <alignment horizontal="center" vertical="center"/>
    </xf>
    <xf numFmtId="3" fontId="29" fillId="34" borderId="1" xfId="0" applyFont="1" applyFill="1" applyBorder="1" applyAlignment="1" applyProtection="1">
      <alignment horizontal="center" vertical="center"/>
    </xf>
    <xf numFmtId="3" fontId="29" fillId="34" borderId="1" xfId="0" applyFont="1" applyFill="1" applyBorder="1" applyAlignment="1" applyProtection="1">
      <alignment horizontal="center"/>
    </xf>
    <xf numFmtId="3" fontId="37" fillId="0" borderId="12" xfId="0" applyFont="1" applyBorder="1" applyAlignment="1">
      <alignment horizontal="right" vertical="top"/>
    </xf>
    <xf numFmtId="0" fontId="25" fillId="0" borderId="0" xfId="54">
      <alignment vertical="top" wrapText="1"/>
    </xf>
    <xf numFmtId="3" fontId="0" fillId="0" borderId="12" xfId="0" applyBorder="1" applyAlignment="1">
      <alignment horizontal="center" vertical="top"/>
    </xf>
    <xf numFmtId="0" fontId="9" fillId="0" borderId="11" xfId="5" applyBorder="1" applyAlignment="1">
      <alignment horizontal="left" vertical="center"/>
    </xf>
    <xf numFmtId="0" fontId="9" fillId="0" borderId="11" xfId="5" applyBorder="1" applyAlignment="1">
      <alignment horizontal="center" vertical="center"/>
    </xf>
    <xf numFmtId="0" fontId="25" fillId="0" borderId="0" xfId="54" applyAlignment="1">
      <alignment horizontal="left" vertical="top" wrapText="1"/>
    </xf>
    <xf numFmtId="0" fontId="24" fillId="0" borderId="10" xfId="52" applyAlignment="1">
      <alignment horizontal="left" vertical="center"/>
    </xf>
    <xf numFmtId="0" fontId="24" fillId="0" borderId="10" xfId="52">
      <alignment horizontal="left" vertical="center" indent="1"/>
    </xf>
    <xf numFmtId="3" fontId="27" fillId="0" borderId="0" xfId="0" applyFont="1" applyAlignment="1">
      <alignment horizontal="center" vertical="top"/>
    </xf>
    <xf numFmtId="3" fontId="0" fillId="0" borderId="0" xfId="0" applyAlignment="1">
      <alignment horizontal="center"/>
    </xf>
    <xf numFmtId="3" fontId="0" fillId="0" borderId="13" xfId="0" applyNumberFormat="1" applyBorder="1" applyAlignment="1">
      <alignment horizontal="right" indent="1"/>
    </xf>
    <xf numFmtId="3" fontId="0" fillId="0" borderId="0" xfId="0" applyNumberFormat="1" applyAlignment="1">
      <alignment horizontal="right" indent="1"/>
    </xf>
    <xf numFmtId="3" fontId="0" fillId="0" borderId="3" xfId="0" applyNumberFormat="1" applyBorder="1" applyAlignment="1">
      <alignment horizontal="right" indent="1"/>
    </xf>
    <xf numFmtId="3" fontId="0" fillId="0" borderId="13" xfId="0" applyBorder="1"/>
    <xf numFmtId="3" fontId="0" fillId="0" borderId="0" xfId="0"/>
    <xf numFmtId="3" fontId="0" fillId="0" borderId="3" xfId="0" applyBorder="1"/>
    <xf numFmtId="0" fontId="25" fillId="0" borderId="0" xfId="54" applyAlignment="1">
      <alignment horizontal="left" vertical="top" wrapText="1" indent="1"/>
    </xf>
    <xf numFmtId="167" fontId="24" fillId="0" borderId="10" xfId="52" applyNumberFormat="1" applyAlignment="1">
      <alignment horizontal="right" vertical="center" indent="1"/>
    </xf>
    <xf numFmtId="0" fontId="10" fillId="0" borderId="0" xfId="6">
      <alignment horizontal="left" vertical="center" indent="1"/>
    </xf>
    <xf numFmtId="0" fontId="5" fillId="2" borderId="1" xfId="3">
      <alignment horizontal="left" vertical="center" indent="1"/>
    </xf>
    <xf numFmtId="165" fontId="0" fillId="0" borderId="13" xfId="61" applyFont="1" applyBorder="1" applyAlignment="1">
      <alignment horizontal="right" indent="1"/>
    </xf>
    <xf numFmtId="3" fontId="0" fillId="0" borderId="0" xfId="59" applyFont="1" applyAlignment="1">
      <alignment horizontal="right" indent="1"/>
    </xf>
    <xf numFmtId="165" fontId="0" fillId="0" borderId="0" xfId="61" applyFont="1" applyAlignment="1">
      <alignment horizontal="right" indent="1"/>
    </xf>
    <xf numFmtId="165" fontId="0" fillId="0" borderId="3" xfId="0" applyNumberFormat="1" applyBorder="1" applyAlignment="1">
      <alignment horizontal="right" indent="1"/>
    </xf>
    <xf numFmtId="165" fontId="24" fillId="0" borderId="10" xfId="61" applyFont="1" applyBorder="1" applyAlignment="1">
      <alignment horizontal="right" vertical="center" indent="1"/>
    </xf>
    <xf numFmtId="0" fontId="10" fillId="0" borderId="3" xfId="6" applyBorder="1">
      <alignment horizontal="left" vertical="center" indent="1"/>
    </xf>
    <xf numFmtId="0" fontId="10" fillId="0" borderId="13" xfId="6" applyBorder="1">
      <alignment horizontal="left" vertical="center" indent="1"/>
    </xf>
    <xf numFmtId="0" fontId="10" fillId="0" borderId="0" xfId="53" applyFont="1" applyBorder="1" applyAlignment="1">
      <alignment horizontal="left" vertical="top" wrapText="1"/>
    </xf>
    <xf numFmtId="3" fontId="0" fillId="0" borderId="0" xfId="0" applyAlignment="1">
      <alignment horizontal="left" vertical="top" wrapText="1"/>
    </xf>
    <xf numFmtId="3" fontId="0" fillId="0" borderId="0" xfId="0" applyAlignment="1">
      <alignment horizontal="left" vertical="center" wrapText="1"/>
    </xf>
    <xf numFmtId="0" fontId="0" fillId="0" borderId="12" xfId="53" applyFont="1" applyBorder="1" applyAlignment="1">
      <alignment horizontal="left" vertical="center" wrapText="1"/>
    </xf>
    <xf numFmtId="0" fontId="0" fillId="0" borderId="0" xfId="53" applyFont="1" applyBorder="1" applyAlignment="1">
      <alignment horizontal="left" vertical="center" wrapText="1"/>
    </xf>
    <xf numFmtId="0" fontId="5" fillId="2" borderId="22" xfId="3" applyBorder="1" applyAlignment="1" applyProtection="1">
      <alignment horizontal="left" vertical="center" indent="1"/>
    </xf>
    <xf numFmtId="0" fontId="5" fillId="2" borderId="0" xfId="3" applyBorder="1" applyAlignment="1" applyProtection="1">
      <alignment horizontal="left" vertical="center" indent="1"/>
    </xf>
    <xf numFmtId="0" fontId="9" fillId="0" borderId="12" xfId="5" applyBorder="1" applyAlignment="1">
      <alignment horizontal="center" vertical="center" wrapText="1"/>
    </xf>
    <xf numFmtId="0" fontId="9" fillId="0" borderId="0" xfId="5" applyBorder="1" applyAlignment="1">
      <alignment horizontal="center" vertical="center" wrapText="1"/>
    </xf>
    <xf numFmtId="3" fontId="7" fillId="36" borderId="1" xfId="1" applyAlignment="1">
      <alignment horizontal="left" vertical="center" indent="1"/>
      <protection locked="0"/>
    </xf>
    <xf numFmtId="0" fontId="9" fillId="0" borderId="12" xfId="5" applyBorder="1" applyAlignment="1">
      <alignment horizontal="left" vertical="center"/>
    </xf>
    <xf numFmtId="0" fontId="9" fillId="0" borderId="3" xfId="5" applyBorder="1" applyAlignment="1">
      <alignment horizontal="left" vertical="center"/>
    </xf>
    <xf numFmtId="0" fontId="5" fillId="2" borderId="1" xfId="3" applyProtection="1">
      <alignment horizontal="left" vertical="center" indent="1"/>
    </xf>
    <xf numFmtId="3" fontId="7" fillId="36" borderId="1" xfId="1" applyAlignment="1">
      <alignment horizontal="center" vertical="center"/>
      <protection locked="0"/>
    </xf>
    <xf numFmtId="0" fontId="9" fillId="0" borderId="12" xfId="5" applyBorder="1" applyAlignment="1">
      <alignment horizontal="center" vertical="center"/>
    </xf>
    <xf numFmtId="0" fontId="9" fillId="0" borderId="3" xfId="5" applyBorder="1" applyAlignment="1">
      <alignment horizontal="center" vertical="center"/>
    </xf>
    <xf numFmtId="3" fontId="37" fillId="0" borderId="12" xfId="0" applyFont="1" applyBorder="1" applyAlignment="1" applyProtection="1">
      <alignment horizontal="right" vertical="top"/>
    </xf>
    <xf numFmtId="3" fontId="37" fillId="0" borderId="0" xfId="0" applyFont="1" applyAlignment="1" applyProtection="1">
      <alignment horizontal="right" vertical="top"/>
    </xf>
    <xf numFmtId="3" fontId="0" fillId="0" borderId="12" xfId="0" applyBorder="1" applyAlignment="1" applyProtection="1">
      <alignment horizontal="left" vertical="center" wrapText="1"/>
    </xf>
    <xf numFmtId="3" fontId="0" fillId="0" borderId="0" xfId="0" applyBorder="1" applyAlignment="1" applyProtection="1">
      <alignment horizontal="left" vertical="center" wrapText="1"/>
    </xf>
    <xf numFmtId="0" fontId="9" fillId="0" borderId="3" xfId="5" applyBorder="1" applyAlignment="1">
      <alignment horizontal="center" vertical="center" wrapText="1"/>
    </xf>
    <xf numFmtId="0" fontId="29" fillId="0" borderId="12" xfId="53" applyFont="1" applyBorder="1" applyAlignment="1">
      <alignment horizontal="left" vertical="top" wrapText="1"/>
    </xf>
    <xf numFmtId="0" fontId="29" fillId="0" borderId="0" xfId="53" applyFont="1" applyAlignment="1">
      <alignment horizontal="left" vertical="top" wrapText="1"/>
    </xf>
    <xf numFmtId="0" fontId="10" fillId="0" borderId="0" xfId="53" applyFont="1" applyBorder="1" applyAlignment="1">
      <alignment horizontal="left" vertical="center" wrapText="1"/>
    </xf>
    <xf numFmtId="0" fontId="5" fillId="2" borderId="18" xfId="3" applyBorder="1" applyProtection="1">
      <alignment horizontal="left" vertical="center" indent="1"/>
    </xf>
    <xf numFmtId="0" fontId="5" fillId="2" borderId="23" xfId="3" applyBorder="1" applyProtection="1">
      <alignment horizontal="left" vertical="center" indent="1"/>
    </xf>
    <xf numFmtId="0" fontId="38" fillId="2" borderId="0" xfId="3" applyFont="1" applyBorder="1" applyAlignment="1" applyProtection="1">
      <alignment vertical="center"/>
    </xf>
    <xf numFmtId="3" fontId="0" fillId="0" borderId="0" xfId="0" applyFont="1" applyAlignment="1" applyProtection="1">
      <alignment vertical="center"/>
    </xf>
    <xf numFmtId="3" fontId="39" fillId="0" borderId="12" xfId="0" quotePrefix="1" applyFont="1" applyBorder="1" applyAlignment="1">
      <alignment horizontal="right" vertical="top"/>
    </xf>
    <xf numFmtId="3" fontId="39" fillId="0" borderId="12" xfId="0" applyFont="1" applyBorder="1" applyAlignment="1">
      <alignment horizontal="right" vertical="top"/>
    </xf>
    <xf numFmtId="3" fontId="39" fillId="0" borderId="0" xfId="0" applyFont="1" applyBorder="1" applyAlignment="1">
      <alignment horizontal="right" vertical="center"/>
    </xf>
    <xf numFmtId="0" fontId="8" fillId="0" borderId="2" xfId="4" applyFill="1">
      <alignment vertical="center"/>
    </xf>
    <xf numFmtId="3" fontId="40" fillId="0" borderId="0" xfId="62" applyAlignment="1" applyProtection="1">
      <alignment vertical="center"/>
    </xf>
    <xf numFmtId="174" fontId="6" fillId="0" borderId="0" xfId="63" applyFont="1" applyAlignment="1">
      <alignment horizontal="right" vertical="center"/>
    </xf>
    <xf numFmtId="3" fontId="0" fillId="0" borderId="0" xfId="0" applyAlignment="1" applyProtection="1">
      <alignment horizontal="left" vertical="center"/>
    </xf>
    <xf numFmtId="3" fontId="41" fillId="0" borderId="0" xfId="0" applyFont="1" applyAlignment="1" applyProtection="1">
      <alignment vertical="center"/>
    </xf>
    <xf numFmtId="0" fontId="25" fillId="0" borderId="0" xfId="54" applyAlignment="1">
      <alignment horizontal="center" vertical="top" wrapText="1"/>
    </xf>
    <xf numFmtId="3" fontId="40" fillId="0" borderId="0" xfId="62" applyAlignment="1" applyProtection="1">
      <alignment horizontal="left" vertical="center"/>
    </xf>
    <xf numFmtId="0" fontId="25" fillId="0" borderId="0" xfId="54" applyFont="1" applyAlignment="1">
      <alignment horizontal="left" vertical="top" wrapText="1"/>
    </xf>
    <xf numFmtId="0" fontId="42" fillId="0" borderId="0" xfId="54" applyFont="1">
      <alignment vertical="top" wrapText="1"/>
    </xf>
    <xf numFmtId="3" fontId="43" fillId="0" borderId="0" xfId="0" applyFont="1" applyAlignment="1" applyProtection="1">
      <alignment vertical="center"/>
    </xf>
    <xf numFmtId="0" fontId="40" fillId="0" borderId="0" xfId="62" applyNumberFormat="1" applyAlignment="1">
      <alignment vertical="top" wrapText="1"/>
    </xf>
    <xf numFmtId="3" fontId="0" fillId="0" borderId="0" xfId="0" applyBorder="1" applyAlignment="1" applyProtection="1">
      <alignment vertical="center"/>
    </xf>
    <xf numFmtId="3" fontId="0" fillId="0" borderId="0" xfId="0" applyFill="1" applyBorder="1" applyAlignment="1" applyProtection="1">
      <alignment vertical="center"/>
    </xf>
    <xf numFmtId="3" fontId="44" fillId="0" borderId="0" xfId="0" applyFont="1" applyAlignment="1">
      <alignment vertical="top" wrapText="1"/>
    </xf>
    <xf numFmtId="0" fontId="9" fillId="0" borderId="24" xfId="5" applyBorder="1" applyAlignment="1">
      <alignment horizontal="center" vertical="center"/>
    </xf>
    <xf numFmtId="3" fontId="40" fillId="0" borderId="0" xfId="62" applyAlignment="1">
      <alignment vertical="top" wrapText="1"/>
    </xf>
    <xf numFmtId="0" fontId="40" fillId="0" borderId="0" xfId="62" applyNumberFormat="1" applyAlignment="1">
      <alignment horizontal="left" vertical="top" wrapText="1"/>
    </xf>
    <xf numFmtId="0" fontId="23" fillId="0" borderId="25" xfId="49" applyBorder="1" applyAlignment="1">
      <alignment horizontal="center" vertical="center"/>
    </xf>
    <xf numFmtId="0" fontId="23" fillId="0" borderId="0" xfId="49" applyBorder="1" applyAlignment="1">
      <alignment horizontal="center" vertical="center"/>
    </xf>
    <xf numFmtId="3" fontId="7" fillId="36" borderId="1" xfId="1" applyAlignment="1">
      <alignment horizontal="left" vertical="center"/>
      <protection locked="0"/>
    </xf>
    <xf numFmtId="165" fontId="6" fillId="0" borderId="0" xfId="0" applyNumberFormat="1" applyFont="1" applyAlignment="1">
      <alignment horizontal="right" vertical="center" indent="2"/>
    </xf>
    <xf numFmtId="167" fontId="6" fillId="0" borderId="0" xfId="20" applyNumberFormat="1" applyAlignment="1">
      <alignment horizontal="right" vertical="center" indent="4"/>
    </xf>
    <xf numFmtId="3" fontId="7" fillId="36" borderId="1" xfId="1" applyBorder="1" applyAlignment="1">
      <alignment horizontal="left" vertical="center"/>
      <protection locked="0"/>
    </xf>
    <xf numFmtId="3" fontId="45" fillId="36" borderId="0" xfId="1" applyFont="1" applyBorder="1" applyAlignment="1">
      <alignment horizontal="left" vertical="center"/>
      <protection locked="0"/>
    </xf>
    <xf numFmtId="0" fontId="24" fillId="0" borderId="10" xfId="52" applyAlignment="1">
      <alignment horizontal="left" vertical="center" indent="1"/>
    </xf>
    <xf numFmtId="165" fontId="24" fillId="0" borderId="10" xfId="0" applyNumberFormat="1" applyFont="1" applyBorder="1" applyAlignment="1">
      <alignment horizontal="right" vertical="center" indent="2"/>
    </xf>
    <xf numFmtId="167" fontId="24" fillId="0" borderId="10" xfId="52" applyNumberFormat="1" applyAlignment="1">
      <alignment horizontal="right" vertical="center" indent="4"/>
    </xf>
    <xf numFmtId="0" fontId="24" fillId="0" borderId="17" xfId="52" applyBorder="1">
      <alignment horizontal="left" vertical="center" indent="1"/>
    </xf>
    <xf numFmtId="3" fontId="0" fillId="0" borderId="0" xfId="0" applyAlignment="1" applyProtection="1">
      <alignment horizontal="center" vertical="center"/>
    </xf>
    <xf numFmtId="3" fontId="0" fillId="0" borderId="0" xfId="0" applyAlignment="1" applyProtection="1">
      <alignment horizontal="left" vertical="center"/>
    </xf>
    <xf numFmtId="0" fontId="8" fillId="0" borderId="0" xfId="4" applyFill="1" applyBorder="1">
      <alignment vertical="center"/>
    </xf>
    <xf numFmtId="0" fontId="8" fillId="0" borderId="2" xfId="4" applyBorder="1">
      <alignment vertical="center"/>
    </xf>
    <xf numFmtId="0" fontId="25" fillId="0" borderId="12" xfId="54" applyBorder="1" applyAlignment="1">
      <alignment horizontal="left" vertical="top" wrapText="1"/>
    </xf>
    <xf numFmtId="0" fontId="25" fillId="0" borderId="0" xfId="54" applyBorder="1" applyAlignment="1">
      <alignment horizontal="left" vertical="top" wrapText="1"/>
    </xf>
    <xf numFmtId="0" fontId="25" fillId="0" borderId="0" xfId="54" applyBorder="1" applyAlignment="1">
      <alignment horizontal="left" vertical="top" wrapText="1"/>
    </xf>
    <xf numFmtId="0" fontId="25" fillId="0" borderId="0" xfId="54" applyBorder="1" applyAlignment="1">
      <alignment vertical="top" wrapText="1"/>
    </xf>
    <xf numFmtId="0" fontId="25" fillId="0" borderId="12" xfId="54" applyBorder="1" applyAlignment="1">
      <alignment vertical="top" wrapText="1"/>
    </xf>
    <xf numFmtId="0" fontId="25" fillId="0" borderId="0" xfId="54" applyBorder="1" applyAlignment="1">
      <alignment vertical="top" wrapText="1"/>
    </xf>
    <xf numFmtId="3" fontId="0" fillId="0" borderId="0" xfId="0" applyAlignment="1"/>
    <xf numFmtId="3" fontId="23"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46" fillId="0" borderId="0" xfId="0" applyFont="1"/>
    <xf numFmtId="3" fontId="41" fillId="0" borderId="0" xfId="0" applyFont="1"/>
    <xf numFmtId="3" fontId="44" fillId="0" borderId="0" xfId="0" applyFont="1" applyAlignment="1" applyProtection="1">
      <alignment vertical="center"/>
    </xf>
    <xf numFmtId="3" fontId="10" fillId="0" borderId="0" xfId="0" applyFont="1" applyBorder="1" applyAlignment="1">
      <alignment horizontal="center" vertical="center"/>
    </xf>
    <xf numFmtId="0" fontId="10" fillId="0" borderId="13" xfId="6" quotePrefix="1" applyBorder="1">
      <alignment horizontal="left" vertical="center" inden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0" fillId="0" borderId="2" xfId="6" quotePrefix="1" applyBorder="1">
      <alignment horizontal="left" vertical="center" indent="1"/>
    </xf>
    <xf numFmtId="0" fontId="10"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3" fontId="6" fillId="0" borderId="0" xfId="20" quotePrefix="1" applyAlignment="1">
      <alignment horizontal="center" vertical="center"/>
    </xf>
    <xf numFmtId="0" fontId="8" fillId="0" borderId="0" xfId="4" applyBorder="1" applyAlignment="1">
      <alignment horizontal="center" vertical="center"/>
    </xf>
    <xf numFmtId="0" fontId="10"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cellXfs>
  <cellStyles count="64">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9" builtinId="27" hidden="1"/>
    <cellStyle name="Calc - Calculation Cell" xfId="20"/>
    <cellStyle name="Calc - Input Cell" xfId="1"/>
    <cellStyle name="Calc - Normal Text" xfId="53"/>
    <cellStyle name="Calc - References Cell" xfId="51"/>
    <cellStyle name="Calc - Units Cell" xfId="49"/>
    <cellStyle name="Calc - Variables Cell" xfId="50"/>
    <cellStyle name="Calculation" xfId="13" builtinId="22" hidden="1"/>
    <cellStyle name="Check Cell" xfId="15" builtinId="23" hidden="1"/>
    <cellStyle name="Comma" xfId="21" builtinId="3" hidden="1"/>
    <cellStyle name="Comma" xfId="55" builtinId="3" hidden="1"/>
    <cellStyle name="Comma" xfId="59" builtinId="3" customBuiltin="1"/>
    <cellStyle name="Comma [0]" xfId="22" builtinId="6" hidden="1"/>
    <cellStyle name="Currency" xfId="23" builtinId="4" hidden="1"/>
    <cellStyle name="Currency" xfId="61" builtinId="4" customBuiltin="1"/>
    <cellStyle name="Currency [0]" xfId="24" builtinId="7" hidden="1"/>
    <cellStyle name="Currency 2" xfId="63"/>
    <cellStyle name="EEC Input" xfId="56"/>
    <cellStyle name="Explanatory Text" xfId="18" builtinId="53" hidden="1"/>
    <cellStyle name="Good" xfId="8" builtinId="26" hidden="1"/>
    <cellStyle name="Heading 1" xfId="3" builtinId="16" customBuiltin="1"/>
    <cellStyle name="Heading 2" xfId="4" builtinId="17" customBuiltin="1"/>
    <cellStyle name="Heading 3" xfId="5" builtinId="18" customBuiltin="1"/>
    <cellStyle name="Heading 4" xfId="6" builtinId="19" customBuiltin="1"/>
    <cellStyle name="Hyperlink" xfId="62" builtinId="8"/>
    <cellStyle name="Input" xfId="11" builtinId="20" hidden="1"/>
    <cellStyle name="Linked Cell" xfId="14" builtinId="24" hidden="1"/>
    <cellStyle name="Narr - Normal Text" xfId="54"/>
    <cellStyle name="Neutral" xfId="10" builtinId="28" hidden="1"/>
    <cellStyle name="Normal" xfId="0" builtinId="0" customBuiltin="1"/>
    <cellStyle name="Note" xfId="17" builtinId="10" hidden="1"/>
    <cellStyle name="Output" xfId="12" builtinId="21" hidden="1"/>
    <cellStyle name="Percent" xfId="2" builtinId="5" hidden="1"/>
    <cellStyle name="Percent" xfId="60" builtinId="5"/>
    <cellStyle name="Table - Average Row" xfId="58"/>
    <cellStyle name="Table - Numbers" xfId="57"/>
    <cellStyle name="Table - Totals Row" xfId="52"/>
    <cellStyle name="Title" xfId="7" builtinId="15" hidden="1"/>
    <cellStyle name="Total" xfId="19" builtinId="25" hidden="1"/>
    <cellStyle name="Warning Text" xfId="16"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400"/>
              <a:t>Operating Profile</a:t>
            </a:r>
            <a:endParaRPr lang="en-US"/>
          </a:p>
        </c:rich>
      </c:tx>
      <c:layout/>
      <c:overlay val="0"/>
    </c:title>
    <c:autoTitleDeleted val="0"/>
    <c:plotArea>
      <c:layout/>
      <c:scatterChart>
        <c:scatterStyle val="lineMarker"/>
        <c:varyColors val="0"/>
        <c:ser>
          <c:idx val="0"/>
          <c:order val="0"/>
          <c:tx>
            <c:v>Current</c:v>
          </c:tx>
          <c:marker>
            <c:symbol val="diamond"/>
            <c:size val="5"/>
          </c:marker>
          <c:xVal>
            <c:numRef>
              <c:f>Analysis!$P$19:$P$43</c:f>
              <c:numCache>
                <c:formatCode>#,##0.0</c:formatCode>
                <c:ptCount val="25"/>
                <c:pt idx="0">
                  <c:v>73</c:v>
                </c:pt>
                <c:pt idx="1">
                  <c:v>72</c:v>
                </c:pt>
                <c:pt idx="2">
                  <c:v>71</c:v>
                </c:pt>
                <c:pt idx="3">
                  <c:v>69</c:v>
                </c:pt>
                <c:pt idx="4">
                  <c:v>68</c:v>
                </c:pt>
                <c:pt idx="5">
                  <c:v>66</c:v>
                </c:pt>
                <c:pt idx="6">
                  <c:v>64</c:v>
                </c:pt>
                <c:pt idx="7">
                  <c:v>62</c:v>
                </c:pt>
                <c:pt idx="8">
                  <c:v>60</c:v>
                </c:pt>
                <c:pt idx="9">
                  <c:v>58</c:v>
                </c:pt>
                <c:pt idx="10">
                  <c:v>56</c:v>
                </c:pt>
                <c:pt idx="11">
                  <c:v>53</c:v>
                </c:pt>
                <c:pt idx="12">
                  <c:v>49</c:v>
                </c:pt>
                <c:pt idx="13">
                  <c:v>45</c:v>
                </c:pt>
                <c:pt idx="14">
                  <c:v>40</c:v>
                </c:pt>
                <c:pt idx="15">
                  <c:v>36</c:v>
                </c:pt>
                <c:pt idx="16">
                  <c:v>31</c:v>
                </c:pt>
                <c:pt idx="17">
                  <c:v>26</c:v>
                </c:pt>
                <c:pt idx="18">
                  <c:v>21</c:v>
                </c:pt>
                <c:pt idx="19">
                  <c:v>16</c:v>
                </c:pt>
                <c:pt idx="20">
                  <c:v>11</c:v>
                </c:pt>
                <c:pt idx="21">
                  <c:v>7</c:v>
                </c:pt>
                <c:pt idx="22">
                  <c:v>2</c:v>
                </c:pt>
                <c:pt idx="23">
                  <c:v>-2</c:v>
                </c:pt>
                <c:pt idx="24">
                  <c:v>-8</c:v>
                </c:pt>
              </c:numCache>
            </c:numRef>
          </c:xVal>
          <c:yVal>
            <c:numRef>
              <c:f>Analysis!$R$19:$R$43</c:f>
              <c:numCache>
                <c:formatCode>#,##0.0</c:formatCode>
                <c:ptCount val="25"/>
                <c:pt idx="0">
                  <c:v>94.035294117647069</c:v>
                </c:pt>
                <c:pt idx="1">
                  <c:v>93.035294117647069</c:v>
                </c:pt>
                <c:pt idx="2">
                  <c:v>92.035294117647069</c:v>
                </c:pt>
                <c:pt idx="3">
                  <c:v>90.035294117647069</c:v>
                </c:pt>
                <c:pt idx="4">
                  <c:v>89.035294117647069</c:v>
                </c:pt>
                <c:pt idx="5">
                  <c:v>87.035294117647069</c:v>
                </c:pt>
                <c:pt idx="6">
                  <c:v>85.035294117647069</c:v>
                </c:pt>
                <c:pt idx="7">
                  <c:v>84.327272727272714</c:v>
                </c:pt>
                <c:pt idx="8">
                  <c:v>84.327272727272714</c:v>
                </c:pt>
                <c:pt idx="9">
                  <c:v>84.327272727272714</c:v>
                </c:pt>
                <c:pt idx="10">
                  <c:v>84.327272727272714</c:v>
                </c:pt>
                <c:pt idx="11">
                  <c:v>84.327272727272714</c:v>
                </c:pt>
                <c:pt idx="12">
                  <c:v>84.327272727272714</c:v>
                </c:pt>
                <c:pt idx="13">
                  <c:v>84.327272727272714</c:v>
                </c:pt>
                <c:pt idx="14">
                  <c:v>84.327272727272714</c:v>
                </c:pt>
                <c:pt idx="15">
                  <c:v>84.327272727272714</c:v>
                </c:pt>
                <c:pt idx="16">
                  <c:v>84.327272727272714</c:v>
                </c:pt>
                <c:pt idx="17">
                  <c:v>84.327272727272714</c:v>
                </c:pt>
                <c:pt idx="18">
                  <c:v>84.327272727272714</c:v>
                </c:pt>
                <c:pt idx="19">
                  <c:v>84.327272727272714</c:v>
                </c:pt>
                <c:pt idx="20">
                  <c:v>84.327272727272714</c:v>
                </c:pt>
                <c:pt idx="21">
                  <c:v>84.327272727272714</c:v>
                </c:pt>
                <c:pt idx="22">
                  <c:v>84.327272727272714</c:v>
                </c:pt>
                <c:pt idx="23">
                  <c:v>84.327272727272714</c:v>
                </c:pt>
                <c:pt idx="24">
                  <c:v>84.327272727272714</c:v>
                </c:pt>
              </c:numCache>
            </c:numRef>
          </c:yVal>
          <c:smooth val="0"/>
        </c:ser>
        <c:ser>
          <c:idx val="1"/>
          <c:order val="1"/>
          <c:tx>
            <c:v>Proposed</c:v>
          </c:tx>
          <c:marker>
            <c:symbol val="circle"/>
            <c:size val="5"/>
          </c:marker>
          <c:xVal>
            <c:numRef>
              <c:f>Analysis!$P$19:$P$43</c:f>
              <c:numCache>
                <c:formatCode>#,##0.0</c:formatCode>
                <c:ptCount val="25"/>
                <c:pt idx="0">
                  <c:v>73</c:v>
                </c:pt>
                <c:pt idx="1">
                  <c:v>72</c:v>
                </c:pt>
                <c:pt idx="2">
                  <c:v>71</c:v>
                </c:pt>
                <c:pt idx="3">
                  <c:v>69</c:v>
                </c:pt>
                <c:pt idx="4">
                  <c:v>68</c:v>
                </c:pt>
                <c:pt idx="5">
                  <c:v>66</c:v>
                </c:pt>
                <c:pt idx="6">
                  <c:v>64</c:v>
                </c:pt>
                <c:pt idx="7">
                  <c:v>62</c:v>
                </c:pt>
                <c:pt idx="8">
                  <c:v>60</c:v>
                </c:pt>
                <c:pt idx="9">
                  <c:v>58</c:v>
                </c:pt>
                <c:pt idx="10">
                  <c:v>56</c:v>
                </c:pt>
                <c:pt idx="11">
                  <c:v>53</c:v>
                </c:pt>
                <c:pt idx="12">
                  <c:v>49</c:v>
                </c:pt>
                <c:pt idx="13">
                  <c:v>45</c:v>
                </c:pt>
                <c:pt idx="14">
                  <c:v>40</c:v>
                </c:pt>
                <c:pt idx="15">
                  <c:v>36</c:v>
                </c:pt>
                <c:pt idx="16">
                  <c:v>31</c:v>
                </c:pt>
                <c:pt idx="17">
                  <c:v>26</c:v>
                </c:pt>
                <c:pt idx="18">
                  <c:v>21</c:v>
                </c:pt>
                <c:pt idx="19">
                  <c:v>16</c:v>
                </c:pt>
                <c:pt idx="20">
                  <c:v>11</c:v>
                </c:pt>
                <c:pt idx="21">
                  <c:v>7</c:v>
                </c:pt>
                <c:pt idx="22">
                  <c:v>2</c:v>
                </c:pt>
                <c:pt idx="23">
                  <c:v>-2</c:v>
                </c:pt>
                <c:pt idx="24">
                  <c:v>-8</c:v>
                </c:pt>
              </c:numCache>
            </c:numRef>
          </c:xVal>
          <c:yVal>
            <c:numRef>
              <c:f>Analysis!$S$19:$S$43</c:f>
              <c:numCache>
                <c:formatCode>#,##0.0</c:formatCode>
                <c:ptCount val="25"/>
                <c:pt idx="0">
                  <c:v>88</c:v>
                </c:pt>
                <c:pt idx="1">
                  <c:v>87</c:v>
                </c:pt>
                <c:pt idx="2">
                  <c:v>86</c:v>
                </c:pt>
                <c:pt idx="3">
                  <c:v>84</c:v>
                </c:pt>
                <c:pt idx="4">
                  <c:v>83</c:v>
                </c:pt>
                <c:pt idx="5">
                  <c:v>81</c:v>
                </c:pt>
                <c:pt idx="6">
                  <c:v>79</c:v>
                </c:pt>
                <c:pt idx="7">
                  <c:v>77</c:v>
                </c:pt>
                <c:pt idx="8">
                  <c:v>75</c:v>
                </c:pt>
                <c:pt idx="9">
                  <c:v>73</c:v>
                </c:pt>
                <c:pt idx="10">
                  <c:v>71</c:v>
                </c:pt>
                <c:pt idx="11">
                  <c:v>68</c:v>
                </c:pt>
                <c:pt idx="12">
                  <c:v>64</c:v>
                </c:pt>
                <c:pt idx="13">
                  <c:v>63.463414634146346</c:v>
                </c:pt>
                <c:pt idx="14">
                  <c:v>63.463414634146346</c:v>
                </c:pt>
                <c:pt idx="15">
                  <c:v>63.463414634146346</c:v>
                </c:pt>
                <c:pt idx="16">
                  <c:v>63.463414634146346</c:v>
                </c:pt>
                <c:pt idx="17">
                  <c:v>63.463414634146346</c:v>
                </c:pt>
                <c:pt idx="18">
                  <c:v>63.463414634146346</c:v>
                </c:pt>
                <c:pt idx="19">
                  <c:v>63.463414634146346</c:v>
                </c:pt>
                <c:pt idx="20">
                  <c:v>63.463414634146346</c:v>
                </c:pt>
                <c:pt idx="21">
                  <c:v>63.463414634146346</c:v>
                </c:pt>
                <c:pt idx="22">
                  <c:v>63.463414634146346</c:v>
                </c:pt>
                <c:pt idx="23">
                  <c:v>63.463414634146346</c:v>
                </c:pt>
                <c:pt idx="24">
                  <c:v>63.463414634146346</c:v>
                </c:pt>
              </c:numCache>
            </c:numRef>
          </c:yVal>
          <c:smooth val="0"/>
        </c:ser>
        <c:dLbls>
          <c:showLegendKey val="0"/>
          <c:showVal val="0"/>
          <c:showCatName val="0"/>
          <c:showSerName val="0"/>
          <c:showPercent val="0"/>
          <c:showBubbleSize val="0"/>
        </c:dLbls>
        <c:axId val="155035296"/>
        <c:axId val="155031768"/>
      </c:scatterChart>
      <c:valAx>
        <c:axId val="155035296"/>
        <c:scaling>
          <c:orientation val="minMax"/>
        </c:scaling>
        <c:delete val="0"/>
        <c:axPos val="b"/>
        <c:title>
          <c:tx>
            <c:rich>
              <a:bodyPr/>
              <a:lstStyle/>
              <a:p>
                <a:pPr>
                  <a:defRPr/>
                </a:pPr>
                <a:r>
                  <a:rPr lang="en-US"/>
                  <a:t>Wet Bulb Temperature (°F)</a:t>
                </a:r>
              </a:p>
            </c:rich>
          </c:tx>
          <c:layout/>
          <c:overlay val="0"/>
        </c:title>
        <c:numFmt formatCode="#,##0.0" sourceLinked="1"/>
        <c:majorTickMark val="out"/>
        <c:minorTickMark val="none"/>
        <c:tickLblPos val="nextTo"/>
        <c:spPr>
          <a:ln>
            <a:solidFill>
              <a:schemeClr val="tx1"/>
            </a:solidFill>
          </a:ln>
        </c:spPr>
        <c:crossAx val="155031768"/>
        <c:crosses val="autoZero"/>
        <c:crossBetween val="midCat"/>
      </c:valAx>
      <c:valAx>
        <c:axId val="155031768"/>
        <c:scaling>
          <c:orientation val="minMax"/>
        </c:scaling>
        <c:delete val="0"/>
        <c:axPos val="r"/>
        <c:majorGridlines/>
        <c:title>
          <c:tx>
            <c:rich>
              <a:bodyPr rot="-5400000" vert="horz"/>
              <a:lstStyle/>
              <a:p>
                <a:pPr>
                  <a:defRPr/>
                </a:pPr>
                <a:r>
                  <a:rPr lang="en-US"/>
                  <a:t>Condensing Temperature (°F)</a:t>
                </a:r>
              </a:p>
            </c:rich>
          </c:tx>
          <c:layout/>
          <c:overlay val="0"/>
        </c:title>
        <c:numFmt formatCode="#,##0.0" sourceLinked="1"/>
        <c:majorTickMark val="out"/>
        <c:minorTickMark val="none"/>
        <c:tickLblPos val="nextTo"/>
        <c:spPr>
          <a:ln>
            <a:solidFill>
              <a:schemeClr val="tx1"/>
            </a:solidFill>
          </a:ln>
        </c:spPr>
        <c:crossAx val="155035296"/>
        <c:crosses val="max"/>
        <c:crossBetween val="midCat"/>
      </c:valAx>
      <c:spPr>
        <a:ln>
          <a:solidFill>
            <a:schemeClr val="tx1"/>
          </a:solidFill>
        </a:ln>
      </c:spPr>
    </c:plotArea>
    <c:legend>
      <c:legendPos val="t"/>
      <c:layout/>
      <c:overlay val="0"/>
    </c:legend>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0</xdr:col>
      <xdr:colOff>133350</xdr:colOff>
      <xdr:row>48</xdr:row>
      <xdr:rowOff>85725</xdr:rowOff>
    </xdr:from>
    <xdr:to>
      <xdr:col>31</xdr:col>
      <xdr:colOff>123825</xdr:colOff>
      <xdr:row>65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76200</xdr:colOff>
      <xdr:row>0</xdr:row>
      <xdr:rowOff>57150</xdr:rowOff>
    </xdr:from>
    <xdr:to>
      <xdr:col>31</xdr:col>
      <xdr:colOff>190500</xdr:colOff>
      <xdr:row>0</xdr:row>
      <xdr:rowOff>337829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4825" y="57150"/>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4</xdr:row>
          <xdr:rowOff>47625</xdr:rowOff>
        </xdr:from>
        <xdr:to>
          <xdr:col>6</xdr:col>
          <xdr:colOff>1857375</xdr:colOff>
          <xdr:row>8</xdr:row>
          <xdr:rowOff>171450</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581025</xdr:colOff>
          <xdr:row>4</xdr:row>
          <xdr:rowOff>0</xdr:rowOff>
        </xdr:from>
        <xdr:to>
          <xdr:col>13</xdr:col>
          <xdr:colOff>1504950</xdr:colOff>
          <xdr:row>5</xdr:row>
          <xdr:rowOff>47625</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733425</xdr:colOff>
          <xdr:row>6</xdr:row>
          <xdr:rowOff>0</xdr:rowOff>
        </xdr:from>
        <xdr:to>
          <xdr:col>13</xdr:col>
          <xdr:colOff>1343025</xdr:colOff>
          <xdr:row>7</xdr:row>
          <xdr:rowOff>38100</xdr:rowOff>
        </xdr:to>
        <xdr:sp macro="" textlink="">
          <xdr:nvSpPr>
            <xdr:cNvPr id="3081" name="Object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733425</xdr:colOff>
          <xdr:row>8</xdr:row>
          <xdr:rowOff>0</xdr:rowOff>
        </xdr:from>
        <xdr:to>
          <xdr:col>13</xdr:col>
          <xdr:colOff>1295400</xdr:colOff>
          <xdr:row>9</xdr:row>
          <xdr:rowOff>38100</xdr:rowOff>
        </xdr:to>
        <xdr:sp macro="" textlink="">
          <xdr:nvSpPr>
            <xdr:cNvPr id="3082" name="Object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13</xdr:row>
          <xdr:rowOff>0</xdr:rowOff>
        </xdr:from>
        <xdr:to>
          <xdr:col>13</xdr:col>
          <xdr:colOff>1724025</xdr:colOff>
          <xdr:row>15</xdr:row>
          <xdr:rowOff>47625</xdr:rowOff>
        </xdr:to>
        <xdr:sp macro="" textlink="">
          <xdr:nvSpPr>
            <xdr:cNvPr id="3084" name="Object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16</xdr:row>
          <xdr:rowOff>0</xdr:rowOff>
        </xdr:from>
        <xdr:to>
          <xdr:col>13</xdr:col>
          <xdr:colOff>1428750</xdr:colOff>
          <xdr:row>17</xdr:row>
          <xdr:rowOff>38100</xdr:rowOff>
        </xdr:to>
        <xdr:sp macro="" textlink="">
          <xdr:nvSpPr>
            <xdr:cNvPr id="3087" name="Object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xdr:row>
          <xdr:rowOff>0</xdr:rowOff>
        </xdr:from>
        <xdr:to>
          <xdr:col>13</xdr:col>
          <xdr:colOff>1924050</xdr:colOff>
          <xdr:row>23</xdr:row>
          <xdr:rowOff>38100</xdr:rowOff>
        </xdr:to>
        <xdr:sp macro="" textlink="">
          <xdr:nvSpPr>
            <xdr:cNvPr id="3088" name="Object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24</xdr:row>
          <xdr:rowOff>0</xdr:rowOff>
        </xdr:from>
        <xdr:to>
          <xdr:col>13</xdr:col>
          <xdr:colOff>1543050</xdr:colOff>
          <xdr:row>25</xdr:row>
          <xdr:rowOff>66675</xdr:rowOff>
        </xdr:to>
        <xdr:sp macro="" textlink="">
          <xdr:nvSpPr>
            <xdr:cNvPr id="3089" name="Object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26</xdr:row>
          <xdr:rowOff>0</xdr:rowOff>
        </xdr:from>
        <xdr:to>
          <xdr:col>13</xdr:col>
          <xdr:colOff>1685925</xdr:colOff>
          <xdr:row>28</xdr:row>
          <xdr:rowOff>47625</xdr:rowOff>
        </xdr:to>
        <xdr:sp macro="" textlink="">
          <xdr:nvSpPr>
            <xdr:cNvPr id="3091" name="Object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714375</xdr:colOff>
          <xdr:row>29</xdr:row>
          <xdr:rowOff>0</xdr:rowOff>
        </xdr:from>
        <xdr:to>
          <xdr:col>13</xdr:col>
          <xdr:colOff>1352550</xdr:colOff>
          <xdr:row>30</xdr:row>
          <xdr:rowOff>38100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733425</xdr:colOff>
          <xdr:row>43</xdr:row>
          <xdr:rowOff>161925</xdr:rowOff>
        </xdr:from>
        <xdr:to>
          <xdr:col>13</xdr:col>
          <xdr:colOff>1371600</xdr:colOff>
          <xdr:row>45</xdr:row>
          <xdr:rowOff>9525</xdr:rowOff>
        </xdr:to>
        <xdr:sp macro="" textlink="">
          <xdr:nvSpPr>
            <xdr:cNvPr id="3093" name="Object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31</xdr:row>
          <xdr:rowOff>0</xdr:rowOff>
        </xdr:from>
        <xdr:to>
          <xdr:col>13</xdr:col>
          <xdr:colOff>1847850</xdr:colOff>
          <xdr:row>35</xdr:row>
          <xdr:rowOff>180975</xdr:rowOff>
        </xdr:to>
        <xdr:sp macro="" textlink="">
          <xdr:nvSpPr>
            <xdr:cNvPr id="3095" name="Object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215411</xdr:colOff>
      <xdr:row>0</xdr:row>
      <xdr:rowOff>42496</xdr:rowOff>
    </xdr:from>
    <xdr:to>
      <xdr:col>6</xdr:col>
      <xdr:colOff>2044211</xdr:colOff>
      <xdr:row>0</xdr:row>
      <xdr:rowOff>323175</xdr:rowOff>
    </xdr:to>
    <xdr:pic>
      <xdr:nvPicPr>
        <xdr:cNvPr id="24" name="Picture 2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488" y="42496"/>
          <a:ext cx="1828800" cy="280679"/>
        </a:xfrm>
        <a:prstGeom prst="rect">
          <a:avLst/>
        </a:prstGeom>
      </xdr:spPr>
    </xdr:pic>
    <xdr:clientData/>
  </xdr:twoCellAnchor>
  <xdr:twoCellAnchor editAs="oneCell">
    <xdr:from>
      <xdr:col>13</xdr:col>
      <xdr:colOff>224204</xdr:colOff>
      <xdr:row>0</xdr:row>
      <xdr:rowOff>49823</xdr:rowOff>
    </xdr:from>
    <xdr:to>
      <xdr:col>13</xdr:col>
      <xdr:colOff>2053004</xdr:colOff>
      <xdr:row>0</xdr:row>
      <xdr:rowOff>330502</xdr:rowOff>
    </xdr:to>
    <xdr:pic>
      <xdr:nvPicPr>
        <xdr:cNvPr id="25" name="Picture 2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25858" y="49823"/>
          <a:ext cx="1828800" cy="280679"/>
        </a:xfrm>
        <a:prstGeom prst="rect">
          <a:avLst/>
        </a:prstGeom>
      </xdr:spPr>
    </xdr:pic>
    <xdr:clientData/>
  </xdr:twoCellAnchor>
  <xdr:twoCellAnchor editAs="oneCell">
    <xdr:from>
      <xdr:col>19</xdr:col>
      <xdr:colOff>557579</xdr:colOff>
      <xdr:row>0</xdr:row>
      <xdr:rowOff>42496</xdr:rowOff>
    </xdr:from>
    <xdr:to>
      <xdr:col>21</xdr:col>
      <xdr:colOff>767129</xdr:colOff>
      <xdr:row>0</xdr:row>
      <xdr:rowOff>323175</xdr:rowOff>
    </xdr:to>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28098" y="42496"/>
          <a:ext cx="1836127" cy="280679"/>
        </a:xfrm>
        <a:prstGeom prst="rect">
          <a:avLst/>
        </a:prstGeom>
      </xdr:spPr>
    </xdr:pic>
    <xdr:clientData/>
  </xdr:twoCellAnchor>
  <xdr:twoCellAnchor editAs="oneCell">
    <xdr:from>
      <xdr:col>27</xdr:col>
      <xdr:colOff>567104</xdr:colOff>
      <xdr:row>0</xdr:row>
      <xdr:rowOff>42496</xdr:rowOff>
    </xdr:from>
    <xdr:to>
      <xdr:col>29</xdr:col>
      <xdr:colOff>776654</xdr:colOff>
      <xdr:row>0</xdr:row>
      <xdr:rowOff>323175</xdr:rowOff>
    </xdr:to>
    <xdr:pic>
      <xdr:nvPicPr>
        <xdr:cNvPr id="27" name="Picture 2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50854" y="42496"/>
          <a:ext cx="1836127"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38100</xdr:colOff>
          <xdr:row>36</xdr:row>
          <xdr:rowOff>161925</xdr:rowOff>
        </xdr:from>
        <xdr:to>
          <xdr:col>13</xdr:col>
          <xdr:colOff>2085975</xdr:colOff>
          <xdr:row>43</xdr:row>
          <xdr:rowOff>76200</xdr:rowOff>
        </xdr:to>
        <xdr:sp macro="" textlink="">
          <xdr:nvSpPr>
            <xdr:cNvPr id="3101" name="Object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923925</xdr:colOff>
          <xdr:row>10</xdr:row>
          <xdr:rowOff>19050</xdr:rowOff>
        </xdr:from>
        <xdr:to>
          <xdr:col>13</xdr:col>
          <xdr:colOff>1123950</xdr:colOff>
          <xdr:row>11</xdr:row>
          <xdr:rowOff>180975</xdr:rowOff>
        </xdr:to>
        <xdr:sp macro="" textlink="">
          <xdr:nvSpPr>
            <xdr:cNvPr id="3102" name="Object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10.emf"/><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5" Type="http://schemas.openxmlformats.org/officeDocument/2006/relationships/image" Target="../media/image12.emf"/><Relationship Id="rId2" Type="http://schemas.openxmlformats.org/officeDocument/2006/relationships/drawing" Target="../drawings/drawing2.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4.emf"/><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5.emf"/><Relationship Id="rId24" Type="http://schemas.openxmlformats.org/officeDocument/2006/relationships/oleObject" Target="../embeddings/oleObject11.bin"/><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3.emf"/><Relationship Id="rId30" Type="http://schemas.openxmlformats.org/officeDocument/2006/relationships/oleObject" Target="../embeddings/oleObject14.bin"/></Relationships>
</file>

<file path=xl/worksheets/_rels/sheet4.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66"/>
  <sheetViews>
    <sheetView showGridLines="0" workbookViewId="0">
      <selection activeCell="G36" sqref="G36"/>
    </sheetView>
  </sheetViews>
  <sheetFormatPr defaultRowHeight="15" customHeight="1" x14ac:dyDescent="0.2"/>
  <cols>
    <col min="1" max="23" width="12.5" style="31" customWidth="1"/>
    <col min="24" max="24" width="16.33203125" style="31" customWidth="1"/>
    <col min="25" max="16384" width="9.33203125" style="31"/>
  </cols>
  <sheetData>
    <row r="1" spans="1:24" ht="15" customHeight="1" x14ac:dyDescent="0.2">
      <c r="A1" s="263" t="s">
        <v>12</v>
      </c>
      <c r="B1" s="263"/>
      <c r="C1" s="263"/>
      <c r="D1" s="263"/>
      <c r="E1" s="263"/>
      <c r="F1" s="263"/>
      <c r="G1" s="263"/>
      <c r="H1" s="263"/>
      <c r="I1" s="263"/>
      <c r="J1" s="263"/>
      <c r="K1" s="263"/>
      <c r="L1" s="263"/>
      <c r="M1" s="263"/>
      <c r="N1" s="263"/>
      <c r="O1" s="263"/>
      <c r="P1" s="263"/>
      <c r="Q1" s="263"/>
      <c r="R1" s="263"/>
      <c r="S1" s="263"/>
      <c r="T1" s="263"/>
      <c r="U1" s="263"/>
      <c r="V1" s="263"/>
      <c r="W1" s="263"/>
      <c r="X1" s="263"/>
    </row>
    <row r="2" spans="1:24" ht="30" customHeight="1" x14ac:dyDescent="0.2">
      <c r="A2" s="118" t="s">
        <v>13</v>
      </c>
      <c r="B2" s="118" t="s">
        <v>14</v>
      </c>
      <c r="C2" s="118" t="s">
        <v>15</v>
      </c>
      <c r="D2" s="118" t="s">
        <v>16</v>
      </c>
      <c r="E2" s="118" t="s">
        <v>17</v>
      </c>
      <c r="F2" s="118" t="s">
        <v>18</v>
      </c>
      <c r="G2" s="118" t="s">
        <v>19</v>
      </c>
      <c r="H2" s="118" t="s">
        <v>20</v>
      </c>
      <c r="I2" s="118" t="s">
        <v>21</v>
      </c>
      <c r="J2" s="118" t="s">
        <v>22</v>
      </c>
      <c r="K2" s="118" t="s">
        <v>23</v>
      </c>
      <c r="L2" s="118" t="s">
        <v>24</v>
      </c>
      <c r="M2" s="118" t="s">
        <v>25</v>
      </c>
      <c r="N2" s="118" t="s">
        <v>26</v>
      </c>
      <c r="O2" s="118" t="s">
        <v>27</v>
      </c>
      <c r="P2" s="118" t="s">
        <v>28</v>
      </c>
      <c r="Q2" s="118" t="s">
        <v>29</v>
      </c>
      <c r="R2" s="118" t="s">
        <v>30</v>
      </c>
      <c r="S2" s="118" t="s">
        <v>31</v>
      </c>
      <c r="T2" s="118" t="s">
        <v>32</v>
      </c>
      <c r="U2" s="118" t="s">
        <v>33</v>
      </c>
      <c r="V2" s="118" t="s">
        <v>34</v>
      </c>
      <c r="W2" s="118" t="s">
        <v>35</v>
      </c>
      <c r="X2" s="118" t="s">
        <v>395</v>
      </c>
    </row>
    <row r="3" spans="1:24" ht="15" customHeight="1" x14ac:dyDescent="0.2">
      <c r="A3" s="116" t="s">
        <v>160</v>
      </c>
      <c r="B3" s="116"/>
      <c r="C3" s="122">
        <v>2.2621000000000002</v>
      </c>
      <c r="D3" s="116" t="s">
        <v>109</v>
      </c>
      <c r="E3" s="116" t="s">
        <v>130</v>
      </c>
      <c r="F3" s="116" t="s">
        <v>316</v>
      </c>
      <c r="G3" s="117" t="str">
        <f ca="1">Narrative!B5</f>
        <v>Lower the minimum ammonia condensing (discharge) pressure on the refrigeration compressors to 100 psig (63.5°F) to decrease refrigeration system energy cost by 13%.</v>
      </c>
      <c r="H3" s="117" t="str">
        <f>Narrative!H92</f>
        <v>Insert Name</v>
      </c>
      <c r="I3" s="117" t="str">
        <f>Narrative!E10</f>
        <v>Electrical Consumption</v>
      </c>
      <c r="J3" s="117">
        <f ca="1">Narrative!N10</f>
        <v>169639.62472453178</v>
      </c>
      <c r="K3" s="117">
        <f ca="1">Narrative!X10</f>
        <v>8481.9812362265893</v>
      </c>
      <c r="L3" s="117">
        <f>Narrative!E11</f>
        <v>0</v>
      </c>
      <c r="M3" s="117">
        <f>Narrative!N11</f>
        <v>0</v>
      </c>
      <c r="N3" s="117">
        <f>Narrative!X11</f>
        <v>0</v>
      </c>
      <c r="O3" s="117">
        <f>Narrative!E12</f>
        <v>0</v>
      </c>
      <c r="P3" s="117">
        <f>Narrative!N12</f>
        <v>0</v>
      </c>
      <c r="Q3" s="117">
        <f>Narrative!X12</f>
        <v>0</v>
      </c>
      <c r="R3" s="117">
        <f>Narrative!E13</f>
        <v>0</v>
      </c>
      <c r="S3" s="117">
        <f>Narrative!N13</f>
        <v>0</v>
      </c>
      <c r="T3" s="117">
        <f>Narrative!X13</f>
        <v>0</v>
      </c>
      <c r="U3" s="117">
        <f>Narrative!S18</f>
        <v>100</v>
      </c>
      <c r="V3" s="116"/>
      <c r="W3" s="116"/>
      <c r="X3" s="262">
        <f>Incentives!C16</f>
        <v>50</v>
      </c>
    </row>
    <row r="4" spans="1:24" ht="15" customHeight="1" x14ac:dyDescent="0.2">
      <c r="A4" s="26"/>
      <c r="B4" s="26"/>
      <c r="C4" s="26"/>
      <c r="D4" s="26"/>
      <c r="E4" s="26"/>
      <c r="F4" s="26"/>
      <c r="G4" s="26"/>
      <c r="H4" s="26"/>
      <c r="I4" s="26"/>
      <c r="J4" s="26"/>
      <c r="K4" s="26"/>
      <c r="L4" s="26"/>
      <c r="M4" s="26"/>
      <c r="N4" s="26"/>
      <c r="O4" s="32"/>
      <c r="P4" s="32"/>
      <c r="Q4" s="32"/>
      <c r="R4" s="32"/>
      <c r="S4" s="32"/>
      <c r="T4" s="26"/>
      <c r="U4" s="26"/>
      <c r="V4" s="26"/>
      <c r="W4" s="26"/>
    </row>
    <row r="5" spans="1:24" ht="15" customHeight="1" x14ac:dyDescent="0.2">
      <c r="A5" s="144" t="s">
        <v>37</v>
      </c>
      <c r="B5" s="144"/>
      <c r="C5" s="144"/>
      <c r="D5" s="8"/>
      <c r="E5" s="26"/>
      <c r="F5" s="26"/>
      <c r="G5" s="26"/>
      <c r="H5" s="26"/>
      <c r="I5" s="26"/>
      <c r="J5" s="26"/>
      <c r="K5" s="26"/>
      <c r="L5" s="26"/>
      <c r="M5" s="26"/>
      <c r="N5" s="26"/>
      <c r="O5" s="26"/>
      <c r="P5" s="26"/>
      <c r="Q5" s="26"/>
      <c r="R5" s="26"/>
      <c r="S5" s="26"/>
      <c r="T5" s="26"/>
      <c r="U5" s="26"/>
      <c r="V5" s="26"/>
      <c r="W5" s="26"/>
    </row>
    <row r="6" spans="1:24" ht="15" customHeight="1" x14ac:dyDescent="0.2">
      <c r="A6" s="9" t="s">
        <v>38</v>
      </c>
      <c r="B6" s="10" t="s">
        <v>39</v>
      </c>
      <c r="C6" s="11" t="s">
        <v>6</v>
      </c>
      <c r="D6" s="8"/>
      <c r="E6" s="26"/>
      <c r="F6" s="26"/>
      <c r="G6" s="26"/>
      <c r="H6" s="26"/>
      <c r="I6" s="26"/>
      <c r="J6" s="26"/>
      <c r="K6" s="26"/>
      <c r="L6" s="26"/>
      <c r="M6" s="26"/>
      <c r="N6" s="26"/>
      <c r="O6" s="26"/>
      <c r="P6" s="26"/>
      <c r="Q6" s="26"/>
      <c r="R6" s="26"/>
      <c r="S6" s="26"/>
      <c r="T6" s="26"/>
      <c r="U6" s="26"/>
      <c r="V6" s="26"/>
      <c r="W6" s="26"/>
    </row>
    <row r="7" spans="1:24" ht="15" customHeight="1" x14ac:dyDescent="0.2">
      <c r="A7" s="12" t="s">
        <v>40</v>
      </c>
      <c r="B7" s="13" t="s">
        <v>41</v>
      </c>
      <c r="C7" s="14" t="s">
        <v>42</v>
      </c>
      <c r="D7" s="8"/>
      <c r="E7" s="26"/>
      <c r="F7" s="26"/>
      <c r="G7" s="26"/>
      <c r="H7" s="26"/>
      <c r="I7" s="26"/>
      <c r="J7" s="26"/>
      <c r="K7" s="26"/>
      <c r="L7" s="26"/>
      <c r="M7" s="26"/>
      <c r="N7" s="26"/>
      <c r="O7" s="26"/>
      <c r="P7" s="26"/>
      <c r="Q7" s="26"/>
      <c r="R7" s="26"/>
      <c r="S7" s="26"/>
      <c r="T7" s="26"/>
      <c r="U7" s="26"/>
      <c r="V7" s="26"/>
      <c r="W7" s="26"/>
    </row>
    <row r="8" spans="1:24" ht="15" customHeight="1" x14ac:dyDescent="0.2">
      <c r="A8" s="12" t="s">
        <v>43</v>
      </c>
      <c r="B8" s="13" t="s">
        <v>44</v>
      </c>
      <c r="C8" s="14" t="s">
        <v>45</v>
      </c>
      <c r="D8" s="8"/>
      <c r="E8" s="26"/>
      <c r="F8" s="26"/>
      <c r="G8" s="26"/>
      <c r="H8" s="26"/>
      <c r="I8" s="26"/>
      <c r="J8" s="26"/>
      <c r="K8" s="26"/>
      <c r="L8" s="26"/>
      <c r="M8" s="26"/>
      <c r="N8" s="26"/>
      <c r="O8" s="26"/>
      <c r="P8" s="26"/>
      <c r="Q8" s="26"/>
      <c r="R8" s="26"/>
      <c r="S8" s="26"/>
      <c r="T8" s="26"/>
      <c r="U8" s="26"/>
      <c r="V8" s="26"/>
      <c r="W8" s="26"/>
    </row>
    <row r="9" spans="1:24" ht="15" customHeight="1" x14ac:dyDescent="0.2">
      <c r="A9" s="12" t="s">
        <v>46</v>
      </c>
      <c r="B9" s="13" t="s">
        <v>47</v>
      </c>
      <c r="C9" s="14" t="s">
        <v>48</v>
      </c>
      <c r="D9" s="8"/>
      <c r="E9" s="26"/>
      <c r="F9" s="26"/>
      <c r="G9" s="26"/>
      <c r="H9" s="26"/>
      <c r="I9" s="26"/>
      <c r="J9" s="26"/>
      <c r="K9" s="26"/>
      <c r="L9" s="26"/>
      <c r="M9" s="26"/>
      <c r="N9" s="26"/>
      <c r="O9" s="26"/>
      <c r="P9" s="26"/>
      <c r="Q9" s="26"/>
      <c r="R9" s="26"/>
      <c r="S9" s="26"/>
      <c r="T9" s="26"/>
      <c r="U9" s="26"/>
      <c r="V9" s="26"/>
      <c r="W9" s="26"/>
    </row>
    <row r="10" spans="1:24" ht="15" customHeight="1" x14ac:dyDescent="0.2">
      <c r="A10" s="12" t="s">
        <v>49</v>
      </c>
      <c r="B10" s="13" t="s">
        <v>50</v>
      </c>
      <c r="C10" s="14" t="s">
        <v>11</v>
      </c>
      <c r="D10" s="8"/>
      <c r="E10" s="26"/>
      <c r="F10" s="26"/>
      <c r="G10" s="26"/>
      <c r="H10" s="26"/>
      <c r="I10" s="26"/>
      <c r="J10" s="26"/>
      <c r="K10" s="26"/>
      <c r="L10" s="26"/>
      <c r="M10" s="26"/>
      <c r="N10" s="26"/>
      <c r="O10" s="26"/>
      <c r="P10" s="26"/>
      <c r="Q10" s="26"/>
      <c r="R10" s="26"/>
      <c r="S10" s="26"/>
      <c r="T10" s="26"/>
      <c r="U10" s="26"/>
      <c r="V10" s="26"/>
      <c r="W10" s="26"/>
    </row>
    <row r="11" spans="1:24" ht="15" customHeight="1" x14ac:dyDescent="0.2">
      <c r="A11" s="12" t="s">
        <v>51</v>
      </c>
      <c r="B11" s="13" t="s">
        <v>52</v>
      </c>
      <c r="C11" s="14" t="s">
        <v>11</v>
      </c>
      <c r="D11" s="8"/>
      <c r="E11" s="26"/>
      <c r="F11" s="26"/>
      <c r="G11" s="26"/>
      <c r="H11" s="26"/>
      <c r="I11" s="26"/>
      <c r="J11" s="26"/>
      <c r="K11" s="26"/>
      <c r="L11" s="26"/>
      <c r="M11" s="26"/>
      <c r="N11" s="26"/>
      <c r="O11" s="26"/>
      <c r="P11" s="26"/>
      <c r="Q11" s="26"/>
      <c r="R11" s="26"/>
      <c r="S11" s="26"/>
      <c r="T11" s="26"/>
      <c r="U11" s="26"/>
      <c r="V11" s="26"/>
      <c r="W11" s="26"/>
    </row>
    <row r="12" spans="1:24" ht="15" customHeight="1" x14ac:dyDescent="0.2">
      <c r="A12" s="12" t="s">
        <v>53</v>
      </c>
      <c r="B12" s="13" t="s">
        <v>54</v>
      </c>
      <c r="C12" s="14" t="s">
        <v>11</v>
      </c>
      <c r="D12" s="8"/>
      <c r="E12" s="26"/>
      <c r="F12" s="26"/>
      <c r="G12" s="26"/>
      <c r="H12" s="26"/>
      <c r="I12" s="26"/>
      <c r="J12" s="26"/>
      <c r="K12" s="26"/>
      <c r="L12" s="26"/>
      <c r="M12" s="26"/>
      <c r="N12" s="26"/>
      <c r="O12" s="26"/>
      <c r="P12" s="26"/>
      <c r="Q12" s="26"/>
      <c r="R12" s="26"/>
      <c r="S12" s="26"/>
      <c r="T12" s="26"/>
      <c r="U12" s="26"/>
      <c r="V12" s="26"/>
      <c r="W12" s="26"/>
    </row>
    <row r="13" spans="1:24" ht="15" customHeight="1" x14ac:dyDescent="0.2">
      <c r="A13" s="12" t="s">
        <v>55</v>
      </c>
      <c r="B13" s="13" t="s">
        <v>56</v>
      </c>
      <c r="C13" s="14" t="s">
        <v>11</v>
      </c>
      <c r="D13" s="8"/>
      <c r="E13" s="26"/>
      <c r="F13" s="26"/>
      <c r="G13" s="26"/>
      <c r="H13" s="26"/>
      <c r="I13" s="26"/>
      <c r="J13" s="26"/>
      <c r="K13" s="26"/>
      <c r="L13" s="26"/>
      <c r="M13" s="26"/>
      <c r="N13" s="26"/>
      <c r="O13" s="26"/>
      <c r="P13" s="26"/>
      <c r="Q13" s="26"/>
      <c r="R13" s="26"/>
      <c r="S13" s="26"/>
      <c r="T13" s="26"/>
      <c r="U13" s="26"/>
      <c r="V13" s="26"/>
      <c r="W13" s="26"/>
    </row>
    <row r="14" spans="1:24" ht="15" customHeight="1" x14ac:dyDescent="0.2">
      <c r="A14" s="12" t="s">
        <v>57</v>
      </c>
      <c r="B14" s="13" t="s">
        <v>58</v>
      </c>
      <c r="C14" s="14" t="s">
        <v>11</v>
      </c>
      <c r="D14" s="8"/>
      <c r="E14" s="26"/>
      <c r="F14" s="26"/>
      <c r="G14" s="26"/>
      <c r="H14" s="26"/>
      <c r="I14" s="26"/>
      <c r="J14" s="26"/>
      <c r="K14" s="26"/>
      <c r="L14" s="26"/>
      <c r="M14" s="26"/>
      <c r="N14" s="26"/>
      <c r="O14" s="26"/>
      <c r="P14" s="26"/>
      <c r="Q14" s="26"/>
      <c r="R14" s="26"/>
      <c r="S14" s="26"/>
      <c r="T14" s="26"/>
      <c r="U14" s="26"/>
      <c r="V14" s="26"/>
      <c r="W14" s="26"/>
    </row>
    <row r="15" spans="1:24" ht="15" customHeight="1" x14ac:dyDescent="0.2">
      <c r="A15" s="12" t="s">
        <v>59</v>
      </c>
      <c r="B15" s="13" t="s">
        <v>60</v>
      </c>
      <c r="C15" s="14" t="s">
        <v>11</v>
      </c>
      <c r="D15" s="8"/>
      <c r="E15" s="26"/>
      <c r="F15" s="26"/>
      <c r="G15" s="26"/>
      <c r="H15" s="26"/>
      <c r="I15" s="26"/>
      <c r="J15" s="26"/>
      <c r="K15" s="26"/>
      <c r="L15" s="26"/>
      <c r="M15" s="26"/>
      <c r="N15" s="26"/>
      <c r="O15" s="26"/>
      <c r="P15" s="26"/>
      <c r="Q15" s="26"/>
      <c r="R15" s="26"/>
      <c r="S15" s="26"/>
      <c r="T15" s="26"/>
      <c r="U15" s="26"/>
      <c r="V15" s="26"/>
      <c r="W15" s="26"/>
    </row>
    <row r="16" spans="1:24" ht="15" customHeight="1" x14ac:dyDescent="0.2">
      <c r="A16" s="12" t="s">
        <v>61</v>
      </c>
      <c r="B16" s="13" t="s">
        <v>62</v>
      </c>
      <c r="C16" s="14" t="s">
        <v>11</v>
      </c>
      <c r="D16" s="8"/>
      <c r="E16" s="26"/>
      <c r="F16" s="26"/>
      <c r="G16" s="26"/>
      <c r="H16" s="26"/>
      <c r="I16" s="26"/>
      <c r="J16" s="26"/>
      <c r="K16" s="26"/>
      <c r="L16" s="26"/>
      <c r="M16" s="26"/>
      <c r="N16" s="26"/>
      <c r="O16" s="26"/>
      <c r="P16" s="26"/>
      <c r="Q16" s="26"/>
      <c r="R16" s="26"/>
      <c r="S16" s="26"/>
      <c r="T16" s="26"/>
      <c r="U16" s="26"/>
      <c r="V16" s="26"/>
      <c r="W16" s="26"/>
    </row>
    <row r="17" spans="1:23" ht="15" customHeight="1" x14ac:dyDescent="0.2">
      <c r="A17" s="12" t="s">
        <v>63</v>
      </c>
      <c r="B17" s="13" t="s">
        <v>64</v>
      </c>
      <c r="C17" s="14" t="s">
        <v>11</v>
      </c>
      <c r="D17" s="8"/>
      <c r="E17" s="26"/>
      <c r="F17" s="26"/>
      <c r="G17" s="26"/>
      <c r="H17" s="26"/>
      <c r="I17" s="26"/>
      <c r="J17" s="26"/>
      <c r="K17" s="26"/>
      <c r="L17" s="26"/>
      <c r="M17" s="26"/>
      <c r="N17" s="26"/>
      <c r="O17" s="26"/>
      <c r="P17" s="26"/>
      <c r="Q17" s="26"/>
      <c r="R17" s="26"/>
      <c r="S17" s="26"/>
      <c r="T17" s="26"/>
      <c r="U17" s="26"/>
      <c r="V17" s="26"/>
      <c r="W17" s="26"/>
    </row>
    <row r="18" spans="1:23" ht="15" customHeight="1" x14ac:dyDescent="0.2">
      <c r="A18" s="12" t="s">
        <v>65</v>
      </c>
      <c r="B18" s="13" t="s">
        <v>66</v>
      </c>
      <c r="C18" s="14" t="s">
        <v>11</v>
      </c>
      <c r="D18" s="8"/>
      <c r="E18" s="26"/>
      <c r="F18" s="26"/>
      <c r="G18" s="26"/>
      <c r="H18" s="26"/>
      <c r="I18" s="26"/>
      <c r="J18" s="26"/>
      <c r="K18" s="26"/>
      <c r="L18" s="26"/>
      <c r="M18" s="26"/>
      <c r="N18" s="26"/>
      <c r="O18" s="26"/>
      <c r="P18" s="26"/>
      <c r="Q18" s="26"/>
      <c r="R18" s="26"/>
      <c r="S18" s="26"/>
      <c r="T18" s="26"/>
      <c r="U18" s="26"/>
      <c r="V18" s="26"/>
      <c r="W18" s="26"/>
    </row>
    <row r="19" spans="1:23" ht="15" customHeight="1" x14ac:dyDescent="0.2">
      <c r="A19" s="12" t="s">
        <v>67</v>
      </c>
      <c r="B19" s="13" t="s">
        <v>68</v>
      </c>
      <c r="C19" s="14" t="s">
        <v>11</v>
      </c>
      <c r="D19" s="8"/>
      <c r="E19" s="26"/>
      <c r="F19" s="26"/>
      <c r="G19" s="26"/>
      <c r="H19" s="26"/>
      <c r="I19" s="26"/>
      <c r="J19" s="26"/>
      <c r="K19" s="26"/>
      <c r="L19" s="26"/>
      <c r="M19" s="26"/>
      <c r="N19" s="26"/>
      <c r="O19" s="26"/>
      <c r="P19" s="26"/>
      <c r="Q19" s="26"/>
      <c r="R19" s="26"/>
      <c r="S19" s="26"/>
      <c r="T19" s="26"/>
      <c r="U19" s="26"/>
      <c r="V19" s="26"/>
      <c r="W19" s="26"/>
    </row>
    <row r="20" spans="1:23" ht="15" customHeight="1" x14ac:dyDescent="0.2">
      <c r="A20" s="12" t="s">
        <v>69</v>
      </c>
      <c r="B20" s="13" t="s">
        <v>70</v>
      </c>
      <c r="C20" s="14" t="s">
        <v>11</v>
      </c>
      <c r="D20" s="8"/>
      <c r="E20" s="26"/>
      <c r="F20" s="26"/>
      <c r="G20" s="26"/>
      <c r="H20" s="26"/>
      <c r="I20" s="26"/>
      <c r="J20" s="26"/>
      <c r="K20" s="26"/>
      <c r="L20" s="26"/>
      <c r="M20" s="26"/>
      <c r="N20" s="26"/>
      <c r="O20" s="26"/>
      <c r="P20" s="26"/>
      <c r="Q20" s="26"/>
      <c r="R20" s="26"/>
      <c r="S20" s="26"/>
      <c r="T20" s="26"/>
      <c r="U20" s="26"/>
      <c r="V20" s="26"/>
      <c r="W20" s="26"/>
    </row>
    <row r="21" spans="1:23" ht="15" customHeight="1" x14ac:dyDescent="0.2">
      <c r="A21" s="12" t="s">
        <v>71</v>
      </c>
      <c r="B21" s="13" t="s">
        <v>72</v>
      </c>
      <c r="C21" s="14" t="s">
        <v>73</v>
      </c>
      <c r="D21" s="8"/>
      <c r="E21" s="26"/>
      <c r="F21" s="26"/>
      <c r="G21" s="26"/>
      <c r="H21" s="26"/>
      <c r="I21" s="26"/>
      <c r="J21" s="26"/>
      <c r="K21" s="26"/>
      <c r="L21" s="26"/>
      <c r="M21" s="26"/>
      <c r="N21" s="26"/>
      <c r="O21" s="26"/>
      <c r="P21" s="26"/>
      <c r="Q21" s="26"/>
      <c r="R21" s="26"/>
      <c r="S21" s="26"/>
      <c r="T21" s="26"/>
      <c r="U21" s="26"/>
      <c r="V21" s="26"/>
      <c r="W21" s="26"/>
    </row>
    <row r="22" spans="1:23" ht="15" customHeight="1" x14ac:dyDescent="0.2">
      <c r="A22" s="12" t="s">
        <v>74</v>
      </c>
      <c r="B22" s="13" t="s">
        <v>75</v>
      </c>
      <c r="C22" s="14" t="s">
        <v>73</v>
      </c>
      <c r="D22" s="8"/>
      <c r="E22" s="8"/>
      <c r="F22" s="8"/>
      <c r="G22" s="8"/>
      <c r="H22" s="26"/>
      <c r="I22" s="26"/>
      <c r="J22" s="26"/>
      <c r="K22" s="26"/>
      <c r="L22" s="26"/>
      <c r="M22" s="26"/>
      <c r="N22" s="26"/>
      <c r="O22" s="26"/>
      <c r="P22" s="26"/>
      <c r="Q22" s="26"/>
      <c r="R22" s="26"/>
      <c r="S22" s="26"/>
      <c r="T22" s="26"/>
      <c r="U22" s="26"/>
      <c r="V22" s="26"/>
      <c r="W22" s="26"/>
    </row>
    <row r="23" spans="1:23" ht="15" customHeight="1" x14ac:dyDescent="0.2">
      <c r="A23" s="12" t="s">
        <v>76</v>
      </c>
      <c r="B23" s="13" t="s">
        <v>77</v>
      </c>
      <c r="C23" s="14" t="s">
        <v>73</v>
      </c>
      <c r="D23" s="8"/>
      <c r="E23" s="8"/>
      <c r="F23" s="8"/>
      <c r="G23" s="8"/>
      <c r="H23" s="26"/>
      <c r="I23" s="26"/>
      <c r="J23" s="26"/>
      <c r="K23" s="26"/>
      <c r="L23" s="26"/>
      <c r="M23" s="26"/>
      <c r="N23" s="26"/>
      <c r="O23" s="26"/>
      <c r="P23" s="26"/>
      <c r="Q23" s="26"/>
      <c r="R23" s="26"/>
      <c r="S23" s="26"/>
      <c r="T23" s="26"/>
      <c r="U23" s="26"/>
      <c r="V23" s="26"/>
      <c r="W23" s="26"/>
    </row>
    <row r="24" spans="1:23" ht="15" customHeight="1" x14ac:dyDescent="0.2">
      <c r="A24" s="12" t="s">
        <v>78</v>
      </c>
      <c r="B24" s="13" t="s">
        <v>79</v>
      </c>
      <c r="C24" s="14" t="s">
        <v>80</v>
      </c>
      <c r="D24" s="8"/>
      <c r="E24" s="8"/>
      <c r="F24" s="8"/>
      <c r="G24" s="8"/>
      <c r="H24" s="26"/>
      <c r="I24" s="26"/>
      <c r="J24" s="26"/>
      <c r="K24" s="26"/>
      <c r="L24" s="26"/>
      <c r="M24" s="26"/>
      <c r="N24" s="26"/>
      <c r="O24" s="26"/>
      <c r="P24" s="26"/>
      <c r="Q24" s="26"/>
      <c r="R24" s="26"/>
      <c r="S24" s="26"/>
      <c r="T24" s="26"/>
      <c r="U24" s="26"/>
      <c r="V24" s="26"/>
      <c r="W24" s="26"/>
    </row>
    <row r="25" spans="1:23" ht="15" customHeight="1" x14ac:dyDescent="0.2">
      <c r="A25" s="12" t="s">
        <v>81</v>
      </c>
      <c r="B25" s="13" t="s">
        <v>82</v>
      </c>
      <c r="C25" s="14" t="s">
        <v>80</v>
      </c>
      <c r="D25" s="8"/>
      <c r="E25" s="8"/>
      <c r="F25" s="8"/>
      <c r="G25" s="8"/>
      <c r="H25" s="26"/>
      <c r="I25" s="26"/>
      <c r="J25" s="26"/>
      <c r="K25" s="26"/>
      <c r="L25" s="26"/>
      <c r="M25" s="26"/>
      <c r="N25" s="26"/>
      <c r="O25" s="26"/>
      <c r="P25" s="26"/>
      <c r="Q25" s="26"/>
      <c r="R25" s="26"/>
      <c r="S25" s="26"/>
      <c r="T25" s="26"/>
      <c r="U25" s="26"/>
      <c r="V25" s="26"/>
      <c r="W25" s="26"/>
    </row>
    <row r="26" spans="1:23" ht="15" customHeight="1" x14ac:dyDescent="0.2">
      <c r="A26" s="12" t="s">
        <v>83</v>
      </c>
      <c r="B26" s="13" t="s">
        <v>84</v>
      </c>
      <c r="C26" s="14" t="s">
        <v>80</v>
      </c>
      <c r="D26" s="8"/>
      <c r="E26" s="8"/>
      <c r="F26" s="8"/>
      <c r="G26" s="8"/>
      <c r="H26" s="26"/>
      <c r="I26" s="26"/>
      <c r="J26" s="26"/>
      <c r="K26" s="26"/>
      <c r="L26" s="26"/>
      <c r="M26" s="26"/>
      <c r="N26" s="26"/>
      <c r="O26" s="26"/>
      <c r="P26" s="26"/>
      <c r="Q26" s="26"/>
      <c r="R26" s="26"/>
      <c r="S26" s="26"/>
      <c r="T26" s="26"/>
      <c r="U26" s="26"/>
      <c r="V26" s="26"/>
      <c r="W26" s="26"/>
    </row>
    <row r="27" spans="1:23" ht="15" customHeight="1" x14ac:dyDescent="0.2">
      <c r="A27" s="12" t="s">
        <v>85</v>
      </c>
      <c r="B27" s="13" t="s">
        <v>86</v>
      </c>
      <c r="C27" s="14" t="s">
        <v>48</v>
      </c>
      <c r="D27" s="8"/>
      <c r="E27" s="8"/>
      <c r="F27" s="8"/>
      <c r="G27" s="8"/>
      <c r="H27" s="26"/>
      <c r="I27" s="26"/>
      <c r="J27" s="26"/>
      <c r="K27" s="26"/>
      <c r="L27" s="26"/>
      <c r="M27" s="26"/>
      <c r="N27" s="26"/>
      <c r="O27" s="26"/>
      <c r="P27" s="26"/>
      <c r="Q27" s="26"/>
      <c r="R27" s="26"/>
      <c r="S27" s="26"/>
      <c r="T27" s="26"/>
      <c r="U27" s="26"/>
      <c r="V27" s="26"/>
      <c r="W27" s="26"/>
    </row>
    <row r="28" spans="1:23" ht="15" customHeight="1" x14ac:dyDescent="0.2">
      <c r="A28" s="12" t="s">
        <v>87</v>
      </c>
      <c r="B28" s="13" t="s">
        <v>88</v>
      </c>
      <c r="C28" s="14" t="s">
        <v>48</v>
      </c>
      <c r="D28" s="8"/>
      <c r="E28" s="8"/>
      <c r="F28" s="8"/>
      <c r="G28" s="8"/>
      <c r="H28" s="26"/>
      <c r="I28" s="26"/>
      <c r="J28" s="26"/>
      <c r="K28" s="26"/>
      <c r="L28" s="26"/>
      <c r="M28" s="26"/>
      <c r="N28" s="26"/>
      <c r="O28" s="26"/>
      <c r="P28" s="26"/>
      <c r="Q28" s="26"/>
      <c r="R28" s="26"/>
      <c r="S28" s="26"/>
      <c r="T28" s="26"/>
      <c r="U28" s="26"/>
      <c r="V28" s="26"/>
      <c r="W28" s="26"/>
    </row>
    <row r="29" spans="1:23" ht="15" customHeight="1" x14ac:dyDescent="0.2">
      <c r="A29" s="12" t="s">
        <v>89</v>
      </c>
      <c r="B29" s="13" t="s">
        <v>90</v>
      </c>
      <c r="C29" s="14" t="s">
        <v>48</v>
      </c>
      <c r="D29" s="8"/>
      <c r="E29" s="8"/>
      <c r="F29" s="8"/>
      <c r="G29" s="8"/>
      <c r="H29" s="26"/>
      <c r="I29" s="26"/>
      <c r="J29" s="26"/>
      <c r="K29" s="26"/>
      <c r="L29" s="26"/>
      <c r="M29" s="26"/>
      <c r="N29" s="26"/>
      <c r="O29" s="26"/>
      <c r="P29" s="26"/>
      <c r="Q29" s="26"/>
      <c r="R29" s="26"/>
      <c r="S29" s="26"/>
      <c r="T29" s="26"/>
      <c r="U29" s="26"/>
      <c r="V29" s="26"/>
      <c r="W29" s="26"/>
    </row>
    <row r="30" spans="1:23" ht="15" customHeight="1" x14ac:dyDescent="0.2">
      <c r="A30" s="12" t="s">
        <v>91</v>
      </c>
      <c r="B30" s="13" t="s">
        <v>92</v>
      </c>
      <c r="C30" s="14" t="s">
        <v>48</v>
      </c>
      <c r="D30" s="8"/>
      <c r="E30" s="8"/>
      <c r="F30" s="8"/>
      <c r="G30" s="8"/>
      <c r="H30" s="26"/>
      <c r="I30" s="26"/>
      <c r="J30" s="26"/>
      <c r="K30" s="26"/>
      <c r="L30" s="26"/>
      <c r="M30" s="26"/>
      <c r="N30" s="26"/>
      <c r="O30" s="26"/>
      <c r="P30" s="26"/>
      <c r="Q30" s="26"/>
      <c r="R30" s="26"/>
      <c r="S30" s="26"/>
      <c r="T30" s="26"/>
      <c r="U30" s="26"/>
      <c r="V30" s="26"/>
      <c r="W30" s="26"/>
    </row>
    <row r="31" spans="1:23" ht="15" customHeight="1" x14ac:dyDescent="0.2">
      <c r="A31" s="12" t="s">
        <v>93</v>
      </c>
      <c r="B31" s="13" t="s">
        <v>94</v>
      </c>
      <c r="C31" s="14" t="s">
        <v>48</v>
      </c>
      <c r="D31" s="8"/>
      <c r="E31" s="8"/>
      <c r="F31" s="8"/>
      <c r="G31" s="8"/>
      <c r="H31" s="26"/>
      <c r="I31" s="26"/>
      <c r="J31" s="26"/>
      <c r="K31" s="26"/>
      <c r="L31" s="26"/>
      <c r="M31" s="26"/>
      <c r="N31" s="26"/>
      <c r="O31" s="26"/>
      <c r="P31" s="26"/>
      <c r="Q31" s="26"/>
      <c r="R31" s="26"/>
      <c r="S31" s="26"/>
      <c r="T31" s="26"/>
      <c r="U31" s="26"/>
      <c r="V31" s="26"/>
      <c r="W31" s="26"/>
    </row>
    <row r="32" spans="1:23" ht="15" customHeight="1" x14ac:dyDescent="0.2">
      <c r="A32" s="12" t="s">
        <v>95</v>
      </c>
      <c r="B32" s="13" t="s">
        <v>96</v>
      </c>
      <c r="C32" s="14" t="s">
        <v>48</v>
      </c>
      <c r="D32" s="8"/>
      <c r="E32" s="8"/>
      <c r="F32" s="8"/>
      <c r="G32" s="8"/>
      <c r="H32" s="26"/>
      <c r="I32" s="26"/>
      <c r="J32" s="26"/>
      <c r="K32" s="26"/>
      <c r="L32" s="26"/>
      <c r="M32" s="26"/>
      <c r="N32" s="26"/>
      <c r="O32" s="26"/>
      <c r="P32" s="26"/>
      <c r="Q32" s="26"/>
      <c r="R32" s="26"/>
      <c r="S32" s="26"/>
      <c r="T32" s="26"/>
      <c r="U32" s="26"/>
      <c r="V32" s="26"/>
      <c r="W32" s="26"/>
    </row>
    <row r="33" spans="1:23" ht="15" customHeight="1" x14ac:dyDescent="0.2">
      <c r="A33" s="12" t="s">
        <v>97</v>
      </c>
      <c r="B33" s="13" t="s">
        <v>98</v>
      </c>
      <c r="C33" s="14" t="s">
        <v>48</v>
      </c>
      <c r="D33" s="8"/>
      <c r="E33" s="8"/>
      <c r="F33" s="8"/>
      <c r="G33" s="8"/>
      <c r="H33" s="26"/>
      <c r="I33" s="26"/>
      <c r="J33" s="26"/>
      <c r="K33" s="26"/>
      <c r="L33" s="26"/>
      <c r="M33" s="26"/>
      <c r="N33" s="26"/>
      <c r="O33" s="26"/>
      <c r="P33" s="26"/>
      <c r="Q33" s="26"/>
      <c r="R33" s="26"/>
      <c r="S33" s="26"/>
      <c r="T33" s="26"/>
      <c r="U33" s="26"/>
      <c r="V33" s="26"/>
      <c r="W33" s="26"/>
    </row>
    <row r="34" spans="1:23" ht="15" customHeight="1" x14ac:dyDescent="0.2">
      <c r="A34" s="12" t="s">
        <v>99</v>
      </c>
      <c r="B34" s="13" t="s">
        <v>100</v>
      </c>
      <c r="C34" s="14" t="s">
        <v>48</v>
      </c>
      <c r="D34" s="8"/>
      <c r="E34" s="8"/>
      <c r="F34" s="8"/>
      <c r="G34" s="8"/>
      <c r="H34" s="26"/>
      <c r="I34" s="26"/>
      <c r="J34" s="26"/>
      <c r="K34" s="26"/>
      <c r="L34" s="26"/>
      <c r="M34" s="26"/>
      <c r="N34" s="26"/>
      <c r="O34" s="26"/>
      <c r="P34" s="26"/>
      <c r="Q34" s="26"/>
      <c r="R34" s="26"/>
      <c r="S34" s="26"/>
      <c r="T34" s="26"/>
      <c r="U34" s="26"/>
      <c r="V34" s="26"/>
      <c r="W34" s="26"/>
    </row>
    <row r="35" spans="1:23" ht="15" customHeight="1" x14ac:dyDescent="0.2">
      <c r="A35" s="15" t="s">
        <v>101</v>
      </c>
      <c r="B35" s="16" t="s">
        <v>102</v>
      </c>
      <c r="C35" s="17" t="s">
        <v>103</v>
      </c>
      <c r="D35" s="8"/>
      <c r="E35" s="8"/>
      <c r="F35" s="8"/>
      <c r="G35" s="8"/>
      <c r="H35" s="26"/>
      <c r="I35" s="26"/>
      <c r="J35" s="26"/>
      <c r="K35" s="26"/>
      <c r="L35" s="26"/>
      <c r="M35" s="26"/>
      <c r="N35" s="26"/>
      <c r="O35" s="26"/>
      <c r="P35" s="26"/>
      <c r="Q35" s="26"/>
      <c r="R35" s="26"/>
      <c r="S35" s="26"/>
      <c r="T35" s="26"/>
      <c r="U35" s="26"/>
      <c r="V35" s="26"/>
      <c r="W35" s="26"/>
    </row>
    <row r="36" spans="1:23" ht="15" customHeight="1" x14ac:dyDescent="0.2">
      <c r="A36" s="26"/>
      <c r="B36" s="26"/>
      <c r="C36" s="26"/>
      <c r="D36" s="26"/>
      <c r="E36" s="26"/>
      <c r="F36" s="26"/>
      <c r="G36" s="26"/>
      <c r="H36" s="26"/>
      <c r="I36" s="26"/>
      <c r="J36" s="26"/>
      <c r="K36" s="26"/>
      <c r="L36" s="26"/>
      <c r="M36" s="26"/>
      <c r="N36" s="26"/>
      <c r="O36" s="26"/>
      <c r="P36" s="26"/>
      <c r="Q36" s="26"/>
      <c r="R36" s="26"/>
      <c r="S36" s="26"/>
      <c r="T36" s="26"/>
      <c r="U36" s="26"/>
      <c r="V36" s="26"/>
      <c r="W36" s="26"/>
    </row>
    <row r="37" spans="1:23" ht="15" customHeight="1" x14ac:dyDescent="0.2">
      <c r="A37" s="144" t="s">
        <v>104</v>
      </c>
      <c r="B37" s="144"/>
      <c r="C37" s="144"/>
      <c r="D37" s="26"/>
      <c r="E37" s="26"/>
      <c r="F37" s="26"/>
      <c r="G37" s="26"/>
      <c r="H37" s="26"/>
      <c r="I37" s="26"/>
      <c r="J37" s="26"/>
      <c r="K37" s="26"/>
      <c r="L37" s="26"/>
      <c r="M37" s="26"/>
      <c r="N37" s="26"/>
      <c r="O37" s="26"/>
      <c r="P37" s="26"/>
      <c r="Q37" s="26"/>
      <c r="R37" s="26"/>
      <c r="S37" s="26"/>
      <c r="T37" s="26"/>
      <c r="U37" s="26"/>
      <c r="V37" s="26"/>
      <c r="W37" s="26"/>
    </row>
    <row r="38" spans="1:23" ht="15" customHeight="1" x14ac:dyDescent="0.2">
      <c r="A38" s="9" t="s">
        <v>105</v>
      </c>
      <c r="B38" s="10" t="s">
        <v>16</v>
      </c>
      <c r="C38" s="18" t="s">
        <v>106</v>
      </c>
      <c r="D38" s="26"/>
      <c r="E38" s="26"/>
      <c r="F38" s="26"/>
      <c r="G38" s="26"/>
      <c r="H38" s="26"/>
      <c r="I38" s="26"/>
      <c r="J38" s="26"/>
      <c r="K38" s="26"/>
      <c r="L38" s="26"/>
      <c r="M38" s="26"/>
      <c r="N38" s="26"/>
      <c r="O38" s="26"/>
      <c r="P38" s="26"/>
      <c r="Q38" s="26"/>
      <c r="R38" s="26"/>
      <c r="S38" s="26"/>
      <c r="T38" s="26"/>
      <c r="U38" s="26"/>
      <c r="V38" s="26"/>
      <c r="W38" s="26"/>
    </row>
    <row r="39" spans="1:23" ht="15" customHeight="1" x14ac:dyDescent="0.2">
      <c r="A39" s="19" t="s">
        <v>107</v>
      </c>
      <c r="B39" s="13">
        <v>1</v>
      </c>
      <c r="C39" s="20" t="s">
        <v>108</v>
      </c>
      <c r="D39" s="26"/>
      <c r="E39" s="26"/>
      <c r="F39" s="26"/>
      <c r="G39" s="26"/>
      <c r="H39" s="26"/>
      <c r="I39" s="26"/>
      <c r="J39" s="26"/>
      <c r="K39" s="26"/>
      <c r="L39" s="26"/>
      <c r="M39" s="26"/>
      <c r="N39" s="26"/>
      <c r="O39" s="26"/>
      <c r="P39" s="26"/>
      <c r="Q39" s="26"/>
      <c r="R39" s="26"/>
      <c r="S39" s="26"/>
      <c r="T39" s="26"/>
      <c r="U39" s="26"/>
      <c r="V39" s="26"/>
      <c r="W39" s="26"/>
    </row>
    <row r="40" spans="1:23" ht="15" customHeight="1" x14ac:dyDescent="0.2">
      <c r="A40" s="19" t="s">
        <v>109</v>
      </c>
      <c r="B40" s="13">
        <v>2</v>
      </c>
      <c r="C40" s="20" t="s">
        <v>110</v>
      </c>
      <c r="D40" s="26"/>
      <c r="E40" s="26"/>
      <c r="F40" s="26"/>
      <c r="G40" s="26"/>
      <c r="H40" s="26"/>
      <c r="I40" s="26"/>
      <c r="J40" s="26"/>
      <c r="K40" s="26"/>
      <c r="L40" s="26"/>
      <c r="M40" s="26"/>
      <c r="N40" s="26"/>
      <c r="O40" s="26"/>
      <c r="P40" s="26"/>
      <c r="Q40" s="26"/>
      <c r="R40" s="26"/>
      <c r="S40" s="26"/>
      <c r="T40" s="26"/>
      <c r="U40" s="26"/>
      <c r="V40" s="26"/>
      <c r="W40" s="26"/>
    </row>
    <row r="41" spans="1:23" ht="15" customHeight="1" x14ac:dyDescent="0.2">
      <c r="A41" s="19" t="s">
        <v>111</v>
      </c>
      <c r="B41" s="13">
        <v>3</v>
      </c>
      <c r="C41" s="20" t="s">
        <v>112</v>
      </c>
      <c r="D41" s="26"/>
      <c r="E41" s="26"/>
      <c r="F41" s="26"/>
      <c r="G41" s="26"/>
      <c r="H41" s="26"/>
      <c r="I41" s="26"/>
      <c r="J41" s="26"/>
      <c r="K41" s="26"/>
      <c r="L41" s="26"/>
      <c r="M41" s="26"/>
      <c r="N41" s="26"/>
      <c r="O41" s="26"/>
      <c r="P41" s="26"/>
      <c r="Q41" s="26"/>
      <c r="R41" s="26"/>
      <c r="S41" s="26"/>
      <c r="T41" s="26"/>
      <c r="U41" s="26"/>
      <c r="V41" s="26"/>
      <c r="W41" s="26"/>
    </row>
    <row r="42" spans="1:23" ht="15" customHeight="1" x14ac:dyDescent="0.2">
      <c r="A42" s="21" t="s">
        <v>113</v>
      </c>
      <c r="B42" s="16">
        <v>4</v>
      </c>
      <c r="C42" s="22" t="s">
        <v>114</v>
      </c>
      <c r="D42" s="26"/>
      <c r="E42" s="26"/>
      <c r="F42" s="26"/>
      <c r="G42" s="26"/>
      <c r="H42" s="26"/>
      <c r="I42" s="26"/>
      <c r="J42" s="26"/>
      <c r="K42" s="26"/>
      <c r="L42" s="26"/>
      <c r="M42" s="26"/>
      <c r="N42" s="26"/>
      <c r="O42" s="26"/>
      <c r="P42" s="26"/>
      <c r="Q42" s="26"/>
      <c r="R42" s="26"/>
      <c r="S42" s="26"/>
      <c r="T42" s="26"/>
      <c r="U42" s="26"/>
      <c r="V42" s="26"/>
      <c r="W42" s="26"/>
    </row>
    <row r="43" spans="1:23" ht="15" customHeight="1" x14ac:dyDescent="0.2">
      <c r="A43" s="23"/>
      <c r="B43" s="23"/>
      <c r="C43" s="23"/>
      <c r="D43" s="26"/>
      <c r="E43" s="26"/>
      <c r="F43" s="26"/>
      <c r="G43" s="26"/>
      <c r="H43" s="26"/>
      <c r="I43" s="26"/>
      <c r="J43" s="26"/>
      <c r="K43" s="26"/>
      <c r="L43" s="26"/>
      <c r="M43" s="26"/>
      <c r="N43" s="26"/>
      <c r="O43" s="26"/>
      <c r="P43" s="26"/>
      <c r="Q43" s="26"/>
      <c r="R43" s="26"/>
      <c r="S43" s="26"/>
      <c r="T43" s="26"/>
      <c r="U43" s="26"/>
      <c r="V43" s="26"/>
      <c r="W43" s="26"/>
    </row>
    <row r="44" spans="1:23" ht="15" customHeight="1" x14ac:dyDescent="0.2">
      <c r="A44" s="144" t="s">
        <v>115</v>
      </c>
      <c r="B44" s="144"/>
      <c r="C44" s="24"/>
      <c r="D44" s="26"/>
      <c r="E44" s="26"/>
      <c r="F44" s="26"/>
      <c r="G44" s="26"/>
      <c r="H44" s="26"/>
      <c r="I44" s="26"/>
      <c r="J44" s="26"/>
      <c r="K44" s="26"/>
      <c r="L44" s="26"/>
      <c r="M44" s="26"/>
      <c r="N44" s="26"/>
      <c r="O44" s="26"/>
      <c r="P44" s="26"/>
      <c r="Q44" s="26"/>
      <c r="R44" s="26"/>
      <c r="S44" s="26"/>
      <c r="T44" s="26"/>
      <c r="U44" s="26"/>
      <c r="V44" s="26"/>
      <c r="W44" s="26"/>
    </row>
    <row r="45" spans="1:23" ht="15" customHeight="1" x14ac:dyDescent="0.2">
      <c r="A45" s="9" t="s">
        <v>116</v>
      </c>
      <c r="B45" s="18" t="s">
        <v>117</v>
      </c>
      <c r="C45" s="25"/>
      <c r="D45" s="26"/>
      <c r="E45" s="26"/>
      <c r="F45" s="26"/>
      <c r="G45" s="26"/>
      <c r="H45" s="26"/>
      <c r="I45" s="26"/>
      <c r="J45" s="26"/>
      <c r="K45" s="26"/>
      <c r="L45" s="26"/>
      <c r="M45" s="26"/>
      <c r="N45" s="26"/>
      <c r="O45" s="26"/>
      <c r="P45" s="26"/>
      <c r="Q45" s="26"/>
      <c r="R45" s="26"/>
      <c r="S45" s="26"/>
      <c r="T45" s="26"/>
      <c r="U45" s="26"/>
      <c r="V45" s="26"/>
      <c r="W45" s="26"/>
    </row>
    <row r="46" spans="1:23" ht="15" customHeight="1" x14ac:dyDescent="0.2">
      <c r="A46" s="19" t="s">
        <v>118</v>
      </c>
      <c r="B46" s="20" t="s">
        <v>118</v>
      </c>
      <c r="C46" s="25"/>
      <c r="D46" s="26"/>
      <c r="E46" s="26"/>
      <c r="F46" s="26"/>
      <c r="G46" s="26"/>
      <c r="H46" s="26"/>
      <c r="I46" s="26"/>
      <c r="J46" s="26"/>
      <c r="K46" s="26"/>
      <c r="L46" s="26"/>
      <c r="M46" s="26"/>
      <c r="N46" s="26"/>
      <c r="O46" s="26"/>
      <c r="P46" s="26"/>
      <c r="Q46" s="26"/>
      <c r="R46" s="26"/>
      <c r="S46" s="26"/>
      <c r="T46" s="26"/>
      <c r="U46" s="26"/>
      <c r="V46" s="26"/>
      <c r="W46" s="26"/>
    </row>
    <row r="47" spans="1:23" ht="15" customHeight="1" x14ac:dyDescent="0.2">
      <c r="A47" s="19" t="s">
        <v>119</v>
      </c>
      <c r="B47" s="20" t="s">
        <v>119</v>
      </c>
      <c r="C47" s="25"/>
      <c r="D47" s="26"/>
      <c r="E47" s="26"/>
      <c r="F47" s="26"/>
      <c r="G47" s="26"/>
      <c r="H47" s="26"/>
      <c r="I47" s="26"/>
      <c r="J47" s="26"/>
      <c r="K47" s="26"/>
      <c r="L47" s="26"/>
      <c r="M47" s="26"/>
      <c r="N47" s="26"/>
      <c r="O47" s="26"/>
      <c r="P47" s="26"/>
      <c r="Q47" s="26"/>
      <c r="R47" s="26"/>
      <c r="S47" s="26"/>
      <c r="T47" s="26"/>
      <c r="U47" s="26"/>
      <c r="V47" s="26"/>
      <c r="W47" s="26"/>
    </row>
    <row r="48" spans="1:23" ht="15" customHeight="1" x14ac:dyDescent="0.2">
      <c r="A48" s="19" t="s">
        <v>80</v>
      </c>
      <c r="B48" s="20" t="s">
        <v>80</v>
      </c>
      <c r="C48" s="25"/>
      <c r="D48" s="26"/>
      <c r="E48" s="26"/>
      <c r="F48" s="26"/>
      <c r="G48" s="26"/>
      <c r="H48" s="26"/>
      <c r="I48" s="26"/>
      <c r="J48" s="26"/>
      <c r="K48" s="26"/>
      <c r="L48" s="26"/>
      <c r="M48" s="26"/>
      <c r="N48" s="26"/>
      <c r="O48" s="26"/>
      <c r="P48" s="26"/>
      <c r="Q48" s="26"/>
      <c r="R48" s="26"/>
      <c r="S48" s="26"/>
      <c r="T48" s="26"/>
      <c r="U48" s="26"/>
      <c r="V48" s="26"/>
      <c r="W48" s="26"/>
    </row>
    <row r="49" spans="1:23" ht="15" customHeight="1" x14ac:dyDescent="0.2">
      <c r="A49" s="19" t="s">
        <v>120</v>
      </c>
      <c r="B49" s="20" t="s">
        <v>120</v>
      </c>
      <c r="C49" s="25"/>
      <c r="D49" s="26"/>
      <c r="E49" s="26"/>
      <c r="F49" s="26"/>
      <c r="G49" s="26"/>
      <c r="H49" s="26"/>
      <c r="I49" s="26"/>
      <c r="J49" s="26"/>
      <c r="K49" s="26"/>
      <c r="L49" s="26"/>
      <c r="M49" s="26"/>
      <c r="N49" s="26"/>
      <c r="O49" s="26"/>
      <c r="P49" s="26"/>
      <c r="Q49" s="26"/>
      <c r="R49" s="26"/>
      <c r="S49" s="26"/>
      <c r="T49" s="26"/>
      <c r="U49" s="26"/>
      <c r="V49" s="26"/>
      <c r="W49" s="26"/>
    </row>
    <row r="50" spans="1:23" ht="15" customHeight="1" x14ac:dyDescent="0.2">
      <c r="A50" s="19" t="s">
        <v>121</v>
      </c>
      <c r="B50" s="20" t="s">
        <v>121</v>
      </c>
      <c r="C50" s="25"/>
      <c r="D50" s="26"/>
      <c r="E50" s="26"/>
      <c r="F50" s="26"/>
      <c r="G50" s="26"/>
      <c r="H50" s="26"/>
      <c r="I50" s="26"/>
      <c r="J50" s="26"/>
      <c r="K50" s="26"/>
      <c r="L50" s="26"/>
      <c r="M50" s="26"/>
      <c r="N50" s="26"/>
      <c r="O50" s="26"/>
      <c r="P50" s="26"/>
      <c r="Q50" s="26"/>
      <c r="R50" s="26"/>
      <c r="S50" s="26"/>
      <c r="T50" s="26"/>
      <c r="U50" s="26"/>
      <c r="V50" s="26"/>
      <c r="W50" s="26"/>
    </row>
    <row r="51" spans="1:23" ht="15" customHeight="1" x14ac:dyDescent="0.2">
      <c r="A51" s="19" t="s">
        <v>122</v>
      </c>
      <c r="B51" s="20" t="s">
        <v>123</v>
      </c>
      <c r="C51" s="25"/>
      <c r="D51" s="26"/>
      <c r="E51" s="26"/>
      <c r="F51" s="26"/>
      <c r="G51" s="26"/>
      <c r="H51" s="26"/>
      <c r="I51" s="26"/>
      <c r="J51" s="26"/>
      <c r="K51" s="26"/>
      <c r="L51" s="26"/>
      <c r="M51" s="26"/>
      <c r="N51" s="26"/>
      <c r="O51" s="26"/>
      <c r="P51" s="26"/>
      <c r="Q51" s="26"/>
      <c r="R51" s="26"/>
      <c r="S51" s="26"/>
      <c r="T51" s="26"/>
      <c r="U51" s="26"/>
      <c r="V51" s="26"/>
      <c r="W51" s="26"/>
    </row>
    <row r="52" spans="1:23" ht="15" customHeight="1" x14ac:dyDescent="0.2">
      <c r="A52" s="19" t="s">
        <v>124</v>
      </c>
      <c r="B52" s="20" t="s">
        <v>125</v>
      </c>
      <c r="C52" s="25"/>
      <c r="D52" s="26"/>
      <c r="E52" s="26"/>
      <c r="F52" s="26"/>
      <c r="G52" s="26"/>
      <c r="H52" s="26"/>
      <c r="I52" s="26"/>
      <c r="J52" s="26"/>
      <c r="K52" s="26"/>
      <c r="L52" s="26"/>
      <c r="M52" s="26"/>
      <c r="N52" s="26"/>
      <c r="O52" s="26"/>
      <c r="P52" s="26"/>
      <c r="Q52" s="26"/>
      <c r="R52" s="26"/>
      <c r="S52" s="26"/>
      <c r="T52" s="26"/>
      <c r="U52" s="26"/>
      <c r="V52" s="26"/>
      <c r="W52" s="26"/>
    </row>
    <row r="53" spans="1:23" ht="15" customHeight="1" x14ac:dyDescent="0.2">
      <c r="A53" s="21" t="s">
        <v>126</v>
      </c>
      <c r="B53" s="22" t="s">
        <v>126</v>
      </c>
      <c r="C53" s="26"/>
      <c r="D53" s="26"/>
      <c r="E53" s="26"/>
      <c r="F53" s="26"/>
      <c r="G53" s="26"/>
      <c r="H53" s="26"/>
      <c r="I53" s="26"/>
      <c r="J53" s="26"/>
      <c r="K53" s="26"/>
      <c r="L53" s="26"/>
      <c r="M53" s="26"/>
      <c r="N53" s="26"/>
      <c r="O53" s="26"/>
      <c r="P53" s="26"/>
      <c r="Q53" s="26"/>
      <c r="R53" s="26"/>
      <c r="S53" s="26"/>
      <c r="T53" s="26"/>
      <c r="U53" s="26"/>
      <c r="V53" s="26"/>
      <c r="W53" s="26"/>
    </row>
    <row r="54" spans="1:23" ht="15" customHeight="1" x14ac:dyDescent="0.2">
      <c r="A54" s="26"/>
      <c r="B54" s="26"/>
      <c r="C54" s="26"/>
      <c r="D54" s="26"/>
      <c r="E54" s="26"/>
      <c r="F54" s="26"/>
      <c r="G54" s="26"/>
      <c r="H54" s="26"/>
      <c r="I54" s="26"/>
      <c r="J54" s="26"/>
      <c r="K54" s="26"/>
      <c r="L54" s="26"/>
      <c r="M54" s="26"/>
      <c r="N54" s="26"/>
      <c r="O54" s="26"/>
      <c r="P54" s="26"/>
      <c r="Q54" s="26"/>
      <c r="R54" s="26"/>
      <c r="S54" s="26"/>
      <c r="T54" s="26"/>
      <c r="U54" s="26"/>
      <c r="V54" s="26"/>
      <c r="W54" s="26"/>
    </row>
    <row r="55" spans="1:23" ht="15" customHeight="1" x14ac:dyDescent="0.2">
      <c r="A55" s="145" t="s">
        <v>127</v>
      </c>
      <c r="B55" s="145"/>
      <c r="C55" s="26"/>
      <c r="D55" s="26"/>
      <c r="E55" s="26"/>
      <c r="F55" s="26"/>
      <c r="G55" s="26"/>
      <c r="H55" s="26"/>
      <c r="I55" s="26"/>
      <c r="J55" s="26"/>
      <c r="K55" s="26"/>
      <c r="L55" s="26"/>
      <c r="M55" s="26"/>
      <c r="N55" s="26"/>
      <c r="O55" s="26"/>
      <c r="P55" s="26"/>
      <c r="Q55" s="26"/>
      <c r="R55" s="26"/>
      <c r="S55" s="26"/>
      <c r="T55" s="26"/>
      <c r="U55" s="26"/>
      <c r="V55" s="26"/>
      <c r="W55" s="26"/>
    </row>
    <row r="56" spans="1:23" ht="15" customHeight="1" x14ac:dyDescent="0.2">
      <c r="A56" s="27" t="s">
        <v>128</v>
      </c>
      <c r="B56" s="28" t="s">
        <v>129</v>
      </c>
      <c r="C56" s="26"/>
      <c r="D56" s="26"/>
      <c r="E56" s="26"/>
      <c r="F56" s="26"/>
      <c r="G56" s="26"/>
      <c r="H56" s="26"/>
      <c r="I56" s="26"/>
      <c r="J56" s="26"/>
      <c r="K56" s="26"/>
      <c r="L56" s="26"/>
      <c r="M56" s="26"/>
      <c r="N56" s="26"/>
      <c r="O56" s="26"/>
      <c r="P56" s="26"/>
      <c r="Q56" s="26"/>
      <c r="R56" s="26"/>
      <c r="S56" s="26"/>
      <c r="T56" s="26"/>
      <c r="U56" s="26"/>
      <c r="V56" s="26"/>
      <c r="W56" s="26"/>
    </row>
    <row r="57" spans="1:23" ht="15" customHeight="1" x14ac:dyDescent="0.2">
      <c r="A57" s="29" t="s">
        <v>130</v>
      </c>
      <c r="B57" s="33" t="s">
        <v>130</v>
      </c>
      <c r="C57" s="26"/>
      <c r="D57" s="26"/>
      <c r="E57" s="26"/>
      <c r="F57" s="26"/>
      <c r="G57" s="26"/>
      <c r="H57" s="26"/>
      <c r="I57" s="26"/>
      <c r="J57" s="26"/>
      <c r="K57" s="26"/>
      <c r="L57" s="26"/>
      <c r="M57" s="26"/>
      <c r="N57" s="26"/>
      <c r="O57" s="26"/>
      <c r="P57" s="26"/>
      <c r="Q57" s="26"/>
      <c r="R57" s="26"/>
      <c r="S57" s="26"/>
      <c r="T57" s="26"/>
      <c r="U57" s="26"/>
      <c r="V57" s="26"/>
      <c r="W57" s="26"/>
    </row>
    <row r="58" spans="1:23" ht="15" customHeight="1" x14ac:dyDescent="0.2">
      <c r="A58" s="29" t="s">
        <v>131</v>
      </c>
      <c r="B58" s="33" t="s">
        <v>132</v>
      </c>
      <c r="C58" s="26"/>
      <c r="D58" s="26"/>
      <c r="E58" s="26"/>
      <c r="F58" s="26"/>
      <c r="G58" s="26"/>
      <c r="H58" s="26"/>
      <c r="I58" s="26"/>
      <c r="J58" s="26"/>
      <c r="K58" s="26"/>
      <c r="L58" s="26"/>
      <c r="M58" s="26"/>
      <c r="N58" s="26"/>
      <c r="O58" s="26"/>
      <c r="P58" s="26"/>
      <c r="Q58" s="26"/>
      <c r="R58" s="26"/>
      <c r="S58" s="26"/>
      <c r="T58" s="26"/>
      <c r="U58" s="26"/>
      <c r="V58" s="26"/>
      <c r="W58" s="26"/>
    </row>
    <row r="59" spans="1:23" ht="15" customHeight="1" x14ac:dyDescent="0.2">
      <c r="A59" s="29" t="s">
        <v>133</v>
      </c>
      <c r="B59" s="33" t="s">
        <v>134</v>
      </c>
      <c r="C59" s="26"/>
      <c r="D59" s="26"/>
      <c r="E59" s="26"/>
      <c r="F59" s="26"/>
      <c r="G59" s="26"/>
      <c r="H59" s="26"/>
      <c r="I59" s="26"/>
      <c r="J59" s="26"/>
      <c r="K59" s="26"/>
      <c r="L59" s="26"/>
      <c r="M59" s="26"/>
      <c r="N59" s="26"/>
      <c r="O59" s="26"/>
      <c r="P59" s="26"/>
      <c r="Q59" s="26"/>
      <c r="R59" s="26"/>
      <c r="S59" s="26"/>
      <c r="T59" s="26"/>
      <c r="U59" s="26"/>
      <c r="V59" s="26"/>
      <c r="W59" s="26"/>
    </row>
    <row r="60" spans="1:23" ht="15" customHeight="1" x14ac:dyDescent="0.2">
      <c r="A60" s="29" t="s">
        <v>135</v>
      </c>
      <c r="B60" s="33" t="s">
        <v>136</v>
      </c>
      <c r="C60" s="26"/>
      <c r="D60" s="26"/>
      <c r="E60" s="26"/>
      <c r="F60" s="26"/>
      <c r="G60" s="26"/>
      <c r="H60" s="26"/>
      <c r="I60" s="26"/>
      <c r="J60" s="26"/>
      <c r="K60" s="26"/>
      <c r="L60" s="26"/>
      <c r="M60" s="26"/>
      <c r="N60" s="26"/>
      <c r="O60" s="26"/>
      <c r="P60" s="26"/>
      <c r="Q60" s="26"/>
      <c r="R60" s="26"/>
      <c r="S60" s="26"/>
      <c r="T60" s="26"/>
      <c r="U60" s="26"/>
      <c r="V60" s="26"/>
      <c r="W60" s="26"/>
    </row>
    <row r="61" spans="1:23" ht="15" customHeight="1" x14ac:dyDescent="0.2">
      <c r="A61" s="29" t="s">
        <v>137</v>
      </c>
      <c r="B61" s="33" t="s">
        <v>138</v>
      </c>
      <c r="C61" s="26"/>
      <c r="D61" s="26"/>
      <c r="E61" s="26"/>
      <c r="F61" s="26"/>
      <c r="G61" s="26"/>
      <c r="H61" s="26"/>
      <c r="I61" s="26"/>
      <c r="J61" s="26"/>
      <c r="K61" s="26"/>
      <c r="L61" s="26"/>
      <c r="M61" s="26"/>
      <c r="N61" s="26"/>
      <c r="O61" s="26"/>
      <c r="P61" s="26"/>
      <c r="Q61" s="26"/>
      <c r="R61" s="26"/>
      <c r="S61" s="26"/>
      <c r="T61" s="26"/>
      <c r="U61" s="26"/>
      <c r="V61" s="26"/>
      <c r="W61" s="26"/>
    </row>
    <row r="62" spans="1:23" ht="15" customHeight="1" x14ac:dyDescent="0.2">
      <c r="A62" s="29" t="s">
        <v>139</v>
      </c>
      <c r="B62" s="33" t="s">
        <v>140</v>
      </c>
      <c r="C62" s="26"/>
      <c r="D62" s="26"/>
      <c r="E62" s="26"/>
      <c r="F62" s="26"/>
      <c r="G62" s="26"/>
      <c r="H62" s="26"/>
      <c r="I62" s="26"/>
      <c r="J62" s="26"/>
      <c r="K62" s="26"/>
      <c r="L62" s="26"/>
      <c r="M62" s="26"/>
      <c r="N62" s="26"/>
      <c r="O62" s="26"/>
      <c r="P62" s="26"/>
      <c r="Q62" s="26"/>
      <c r="R62" s="26"/>
      <c r="S62" s="26"/>
      <c r="T62" s="26"/>
      <c r="U62" s="26"/>
      <c r="V62" s="26"/>
      <c r="W62" s="26"/>
    </row>
    <row r="63" spans="1:23" ht="15" customHeight="1" x14ac:dyDescent="0.2">
      <c r="A63" s="29" t="s">
        <v>141</v>
      </c>
      <c r="B63" s="33" t="s">
        <v>142</v>
      </c>
      <c r="C63" s="26"/>
      <c r="D63" s="26"/>
      <c r="E63" s="26"/>
      <c r="F63" s="26"/>
      <c r="G63" s="26"/>
      <c r="H63" s="26"/>
      <c r="I63" s="26"/>
      <c r="J63" s="26"/>
      <c r="K63" s="26"/>
      <c r="L63" s="26"/>
      <c r="M63" s="26"/>
      <c r="N63" s="26"/>
      <c r="O63" s="26"/>
      <c r="P63" s="26"/>
      <c r="Q63" s="26"/>
      <c r="R63" s="26"/>
      <c r="S63" s="26"/>
      <c r="T63" s="26"/>
      <c r="U63" s="26"/>
      <c r="V63" s="26"/>
      <c r="W63" s="26"/>
    </row>
    <row r="64" spans="1:23" ht="15" customHeight="1" x14ac:dyDescent="0.2">
      <c r="A64" s="29" t="s">
        <v>143</v>
      </c>
      <c r="B64" s="33" t="s">
        <v>144</v>
      </c>
      <c r="C64" s="26"/>
      <c r="D64" s="26"/>
      <c r="E64" s="26"/>
      <c r="F64" s="26"/>
      <c r="G64" s="26"/>
      <c r="H64" s="26"/>
      <c r="I64" s="26"/>
      <c r="J64" s="26"/>
      <c r="K64" s="26"/>
      <c r="L64" s="26"/>
      <c r="M64" s="26"/>
      <c r="N64" s="26"/>
      <c r="O64" s="26"/>
      <c r="P64" s="26"/>
      <c r="Q64" s="26"/>
      <c r="R64" s="26"/>
      <c r="S64" s="26"/>
      <c r="T64" s="26"/>
      <c r="U64" s="26"/>
      <c r="V64" s="26"/>
      <c r="W64" s="26"/>
    </row>
    <row r="65" spans="1:23" ht="15" customHeight="1" x14ac:dyDescent="0.2">
      <c r="A65" s="29" t="s">
        <v>145</v>
      </c>
      <c r="B65" s="33" t="s">
        <v>146</v>
      </c>
      <c r="C65" s="26"/>
      <c r="D65" s="26"/>
      <c r="E65" s="26"/>
      <c r="F65" s="26"/>
      <c r="G65" s="26"/>
      <c r="H65" s="26"/>
      <c r="I65" s="26"/>
      <c r="J65" s="26"/>
      <c r="K65" s="26"/>
      <c r="L65" s="26"/>
      <c r="M65" s="26"/>
      <c r="N65" s="26"/>
      <c r="O65" s="26"/>
      <c r="P65" s="26"/>
      <c r="Q65" s="26"/>
      <c r="R65" s="26"/>
      <c r="S65" s="26"/>
      <c r="T65" s="26"/>
      <c r="U65" s="26"/>
      <c r="V65" s="26"/>
      <c r="W65" s="26"/>
    </row>
    <row r="66" spans="1:23" ht="15" customHeight="1" x14ac:dyDescent="0.2">
      <c r="A66" s="30" t="s">
        <v>147</v>
      </c>
      <c r="B66" s="34" t="s">
        <v>148</v>
      </c>
      <c r="C66" s="26"/>
      <c r="D66" s="26"/>
      <c r="E66" s="26"/>
      <c r="F66" s="26"/>
      <c r="G66" s="26"/>
      <c r="H66" s="26"/>
      <c r="I66" s="26"/>
      <c r="J66" s="26"/>
      <c r="K66" s="26"/>
      <c r="L66" s="26"/>
      <c r="M66" s="26"/>
      <c r="N66" s="26"/>
      <c r="O66" s="26"/>
      <c r="P66" s="26"/>
      <c r="Q66" s="26"/>
      <c r="R66" s="26"/>
      <c r="S66" s="26"/>
      <c r="T66" s="26"/>
      <c r="U66" s="26"/>
      <c r="V66" s="26"/>
      <c r="W66" s="26"/>
    </row>
  </sheetData>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24"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3"/>
  <sheetViews>
    <sheetView showGridLines="0" tabSelected="1" view="pageBreakPreview" topLeftCell="A50" zoomScaleNormal="100" zoomScaleSheetLayoutView="100" workbookViewId="0">
      <selection activeCell="AI74" sqref="AI74"/>
    </sheetView>
  </sheetViews>
  <sheetFormatPr defaultRowHeight="15" customHeight="1" x14ac:dyDescent="0.2"/>
  <cols>
    <col min="1" max="1" width="4.1640625" style="119" customWidth="1"/>
    <col min="2" max="31" width="3.33203125" customWidth="1"/>
    <col min="32" max="32" width="4.1640625" customWidth="1"/>
  </cols>
  <sheetData>
    <row r="1" spans="1:32" ht="30" customHeight="1" x14ac:dyDescent="0.2">
      <c r="A1" s="165" t="str">
        <f>"AR No. "&amp;'Database Export'!A3&amp;" - "&amp;'Database Export'!F3&amp;" "</f>
        <v xml:space="preserve">AR No. # - Refrigeration Discharge Pressure </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row>
    <row r="2" spans="1:32" ht="15" customHeight="1" x14ac:dyDescent="0.2">
      <c r="A2" s="146" t="s">
        <v>393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s="37" customFormat="1" ht="15" customHeight="1" x14ac:dyDescent="0.2">
      <c r="B3" s="36" t="s">
        <v>0</v>
      </c>
      <c r="C3" s="36"/>
      <c r="D3" s="36"/>
      <c r="E3" s="36"/>
      <c r="F3" s="36"/>
      <c r="G3" s="36"/>
    </row>
    <row r="5" spans="1:32" ht="15" customHeight="1" x14ac:dyDescent="0.2">
      <c r="B5" s="147" t="str">
        <f ca="1">"Lower the minimum "&amp;LOWER(Analysis!C5)&amp;" condensing (discharge) pressure on the refrigeration compressors to "&amp;TEXT(Analysis!C17,"###")&amp;" psig ("&amp;TEXT(Analysis!C18,"###.0")&amp;"°F) to decrease refrigeration system energy cost by "&amp;TEXT(Analysis!J13/Analysis!J7,"#0%")&amp;"."</f>
        <v>Lower the minimum ammonia condensing (discharge) pressure on the refrigeration compressors to 100 psig (63.5°F) to decrease refrigeration system energy cost by 13%.</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row>
    <row r="6" spans="1:32" ht="15" customHeight="1" x14ac:dyDescent="0.2">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row>
    <row r="7" spans="1:32" ht="15" customHeight="1"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2" ht="15" customHeight="1" x14ac:dyDescent="0.2">
      <c r="E8" s="143" t="s">
        <v>327</v>
      </c>
      <c r="F8" s="143"/>
      <c r="G8" s="143"/>
      <c r="H8" s="143"/>
      <c r="I8" s="143"/>
      <c r="J8" s="143"/>
      <c r="K8" s="143"/>
      <c r="L8" s="143"/>
      <c r="M8" s="143"/>
      <c r="N8" s="143"/>
      <c r="O8" s="143"/>
      <c r="P8" s="143"/>
      <c r="Q8" s="143"/>
      <c r="R8" s="143"/>
      <c r="S8" s="143"/>
      <c r="T8" s="143"/>
      <c r="U8" s="143"/>
      <c r="V8" s="143"/>
      <c r="W8" s="143"/>
      <c r="X8" s="143"/>
      <c r="Y8" s="143"/>
      <c r="Z8" s="143"/>
      <c r="AA8" s="143"/>
      <c r="AB8" s="143"/>
    </row>
    <row r="9" spans="1:32" ht="15" customHeight="1" x14ac:dyDescent="0.2">
      <c r="E9" s="149" t="s">
        <v>4</v>
      </c>
      <c r="F9" s="149"/>
      <c r="G9" s="149"/>
      <c r="H9" s="149"/>
      <c r="I9" s="149"/>
      <c r="J9" s="149"/>
      <c r="K9" s="149"/>
      <c r="L9" s="149"/>
      <c r="M9" s="149"/>
      <c r="N9" s="150" t="s">
        <v>5</v>
      </c>
      <c r="O9" s="150"/>
      <c r="P9" s="150"/>
      <c r="Q9" s="150"/>
      <c r="R9" s="150"/>
      <c r="S9" s="149" t="s">
        <v>6</v>
      </c>
      <c r="T9" s="149"/>
      <c r="U9" s="149"/>
      <c r="V9" s="149"/>
      <c r="W9" s="149"/>
      <c r="X9" s="150" t="s">
        <v>7</v>
      </c>
      <c r="Y9" s="150"/>
      <c r="Z9" s="150"/>
      <c r="AA9" s="150"/>
      <c r="AB9" s="150"/>
    </row>
    <row r="10" spans="1:32" ht="15" customHeight="1" x14ac:dyDescent="0.2">
      <c r="E10" s="172" t="s">
        <v>40</v>
      </c>
      <c r="F10" s="172"/>
      <c r="G10" s="172"/>
      <c r="H10" s="172"/>
      <c r="I10" s="172"/>
      <c r="J10" s="172"/>
      <c r="K10" s="172"/>
      <c r="L10" s="172"/>
      <c r="M10" s="172"/>
      <c r="N10" s="156">
        <f ca="1">Analysis!J13</f>
        <v>169639.62472453178</v>
      </c>
      <c r="O10" s="156"/>
      <c r="P10" s="156"/>
      <c r="Q10" s="156"/>
      <c r="R10" s="156"/>
      <c r="S10" s="159" t="str">
        <f>IF(E10="","",VLOOKUP(E10,Resource_Streams[],3,FALSE))</f>
        <v>kWh (site)</v>
      </c>
      <c r="T10" s="159"/>
      <c r="U10" s="159"/>
      <c r="V10" s="159"/>
      <c r="W10" s="159"/>
      <c r="X10" s="166">
        <f ca="1">Analysis!J16</f>
        <v>8481.9812362265893</v>
      </c>
      <c r="Y10" s="166"/>
      <c r="Z10" s="166"/>
      <c r="AA10" s="166"/>
      <c r="AB10" s="166"/>
    </row>
    <row r="11" spans="1:32" ht="15" hidden="1" customHeight="1" x14ac:dyDescent="0.2">
      <c r="E11" s="164"/>
      <c r="F11" s="164"/>
      <c r="G11" s="164"/>
      <c r="H11" s="164"/>
      <c r="I11" s="164"/>
      <c r="J11" s="164"/>
      <c r="K11" s="164"/>
      <c r="L11" s="164"/>
      <c r="M11" s="164"/>
      <c r="N11" s="157"/>
      <c r="O11" s="157"/>
      <c r="P11" s="157"/>
      <c r="Q11" s="157"/>
      <c r="R11" s="157"/>
      <c r="S11" s="160" t="str">
        <f>IF(E11="","",VLOOKUP(E11,Resource_Streams[],3,FALSE))</f>
        <v/>
      </c>
      <c r="T11" s="160"/>
      <c r="U11" s="160"/>
      <c r="V11" s="160"/>
      <c r="W11" s="160"/>
      <c r="X11" s="167"/>
      <c r="Y11" s="167"/>
      <c r="Z11" s="167"/>
      <c r="AA11" s="167"/>
      <c r="AB11" s="167"/>
    </row>
    <row r="12" spans="1:32" ht="15" hidden="1" customHeight="1" x14ac:dyDescent="0.2">
      <c r="E12" s="164"/>
      <c r="F12" s="164"/>
      <c r="G12" s="164"/>
      <c r="H12" s="164"/>
      <c r="I12" s="164"/>
      <c r="J12" s="164"/>
      <c r="K12" s="164"/>
      <c r="L12" s="164"/>
      <c r="M12" s="164"/>
      <c r="N12" s="157"/>
      <c r="O12" s="157"/>
      <c r="P12" s="157"/>
      <c r="Q12" s="157"/>
      <c r="R12" s="157"/>
      <c r="S12" s="160" t="str">
        <f>IF(E12="","",VLOOKUP(E12,Resource_Streams[],3,FALSE))</f>
        <v/>
      </c>
      <c r="T12" s="160"/>
      <c r="U12" s="160"/>
      <c r="V12" s="160"/>
      <c r="W12" s="160"/>
      <c r="X12" s="168"/>
      <c r="Y12" s="168"/>
      <c r="Z12" s="168"/>
      <c r="AA12" s="168"/>
      <c r="AB12" s="168"/>
    </row>
    <row r="13" spans="1:32" ht="15" hidden="1" customHeight="1" x14ac:dyDescent="0.2">
      <c r="E13" s="171"/>
      <c r="F13" s="171"/>
      <c r="G13" s="171"/>
      <c r="H13" s="171"/>
      <c r="I13" s="171"/>
      <c r="J13" s="171"/>
      <c r="K13" s="171"/>
      <c r="L13" s="171"/>
      <c r="M13" s="171"/>
      <c r="N13" s="158"/>
      <c r="O13" s="158"/>
      <c r="P13" s="158"/>
      <c r="Q13" s="158"/>
      <c r="R13" s="158"/>
      <c r="S13" s="161" t="str">
        <f>IF(E13="","",VLOOKUP(E13,Resource_Streams[],3,FALSE))</f>
        <v/>
      </c>
      <c r="T13" s="161"/>
      <c r="U13" s="161"/>
      <c r="V13" s="161"/>
      <c r="W13" s="161"/>
      <c r="X13" s="169"/>
      <c r="Y13" s="169"/>
      <c r="Z13" s="169"/>
      <c r="AA13" s="169"/>
      <c r="AB13" s="169"/>
    </row>
    <row r="14" spans="1:32" ht="15" customHeight="1" x14ac:dyDescent="0.2">
      <c r="E14" s="153" t="s">
        <v>8</v>
      </c>
      <c r="F14" s="153"/>
      <c r="G14" s="153"/>
      <c r="H14" s="153"/>
      <c r="I14" s="153"/>
      <c r="J14" s="153"/>
      <c r="K14" s="153"/>
      <c r="L14" s="153"/>
      <c r="M14" s="153"/>
      <c r="N14" s="163">
        <f ca="1">N10*3413/1000000</f>
        <v>578.98003918482698</v>
      </c>
      <c r="O14" s="163"/>
      <c r="P14" s="163"/>
      <c r="Q14" s="163"/>
      <c r="R14" s="163"/>
      <c r="S14" s="152" t="s">
        <v>11</v>
      </c>
      <c r="T14" s="152"/>
      <c r="U14" s="152"/>
      <c r="V14" s="152"/>
      <c r="W14" s="152"/>
      <c r="X14" s="170">
        <f ca="1">SUM(X10:AB13)</f>
        <v>8481.9812362265893</v>
      </c>
      <c r="Y14" s="170"/>
      <c r="Z14" s="170"/>
      <c r="AA14" s="170"/>
      <c r="AB14" s="170"/>
    </row>
    <row r="15" spans="1:32" ht="15" customHeight="1" x14ac:dyDescent="0.2">
      <c r="E15" s="121"/>
      <c r="F15" s="120"/>
      <c r="G15" s="120"/>
      <c r="H15" s="120"/>
      <c r="I15" s="120"/>
      <c r="J15" s="120"/>
      <c r="K15" s="120"/>
      <c r="L15" s="120"/>
      <c r="M15" s="120"/>
      <c r="N15" s="120"/>
      <c r="O15" s="120"/>
      <c r="P15" s="120"/>
      <c r="Q15" s="120"/>
      <c r="R15" s="120"/>
      <c r="S15" s="120"/>
      <c r="T15" s="120"/>
      <c r="U15" s="120"/>
      <c r="V15" s="120"/>
      <c r="W15" s="120"/>
      <c r="X15" s="120"/>
      <c r="Y15" s="120"/>
      <c r="Z15" s="120"/>
      <c r="AA15" s="120"/>
      <c r="AB15" s="120"/>
    </row>
    <row r="16" spans="1:32" s="35" customFormat="1" ht="15" customHeight="1" x14ac:dyDescent="0.2">
      <c r="A16" s="119"/>
      <c r="E16" s="143" t="s">
        <v>328</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1:31" s="35" customFormat="1" ht="15" customHeight="1" x14ac:dyDescent="0.2">
      <c r="A17" s="119"/>
      <c r="E17" s="149" t="s">
        <v>149</v>
      </c>
      <c r="F17" s="149"/>
      <c r="G17" s="149"/>
      <c r="H17" s="149"/>
      <c r="I17" s="149"/>
      <c r="J17" s="149"/>
      <c r="K17" s="149"/>
      <c r="L17" s="149"/>
      <c r="M17" s="149"/>
      <c r="N17" s="150"/>
      <c r="O17" s="150"/>
      <c r="P17" s="150"/>
      <c r="Q17" s="150"/>
      <c r="R17" s="150"/>
      <c r="S17" s="150" t="s">
        <v>150</v>
      </c>
      <c r="T17" s="150"/>
      <c r="U17" s="150"/>
      <c r="V17" s="150"/>
      <c r="W17" s="150"/>
      <c r="X17" s="150" t="s">
        <v>394</v>
      </c>
      <c r="Y17" s="150"/>
      <c r="Z17" s="150"/>
      <c r="AA17" s="150"/>
      <c r="AB17" s="150"/>
    </row>
    <row r="18" spans="1:31" ht="15" customHeight="1" x14ac:dyDescent="0.2">
      <c r="E18" s="250" t="str">
        <f>IF(Incentives!C16=Incentives!C4,"Before Incentives","Before Incentives")</f>
        <v>Before Incentives</v>
      </c>
      <c r="F18" s="172"/>
      <c r="G18" s="172"/>
      <c r="H18" s="172"/>
      <c r="I18" s="172"/>
      <c r="J18" s="172"/>
      <c r="K18" s="172"/>
      <c r="L18" s="172"/>
      <c r="M18" s="172"/>
      <c r="N18" s="156"/>
      <c r="O18" s="156"/>
      <c r="P18" s="156"/>
      <c r="Q18" s="156"/>
      <c r="R18" s="156"/>
      <c r="S18" s="251">
        <f>Incentives!C4</f>
        <v>100</v>
      </c>
      <c r="T18" s="252"/>
      <c r="U18" s="252"/>
      <c r="V18" s="252"/>
      <c r="W18" s="252"/>
      <c r="X18" s="253">
        <f ca="1">Incentives!C6</f>
        <v>1.1789698328133461E-2</v>
      </c>
      <c r="Y18" s="254"/>
      <c r="Z18" s="254"/>
      <c r="AA18" s="254"/>
      <c r="AB18" s="254"/>
    </row>
    <row r="19" spans="1:31" s="35" customFormat="1" ht="15" customHeight="1" x14ac:dyDescent="0.2">
      <c r="A19" s="119"/>
      <c r="E19" s="255" t="str">
        <f>IF(Incentives!C16=Incentives!C4,"No Incentives Found","After Incentives")</f>
        <v>After Incentives</v>
      </c>
      <c r="F19" s="256"/>
      <c r="G19" s="256"/>
      <c r="H19" s="256"/>
      <c r="I19" s="256"/>
      <c r="J19" s="256"/>
      <c r="K19" s="256"/>
      <c r="L19" s="256"/>
      <c r="M19" s="256"/>
      <c r="N19" s="257"/>
      <c r="O19" s="257"/>
      <c r="P19" s="257"/>
      <c r="Q19" s="257"/>
      <c r="R19" s="257"/>
      <c r="S19" s="258">
        <f>IF(Incentives!C16=Incentives!C4,"-",Incentives!C16)</f>
        <v>50</v>
      </c>
      <c r="T19" s="259"/>
      <c r="U19" s="259"/>
      <c r="V19" s="259"/>
      <c r="W19" s="259"/>
      <c r="X19" s="260">
        <f ca="1">IF(Incentives!C16=Incentives!C4,"-",Incentives!D16)</f>
        <v>5.8948491640667304E-3</v>
      </c>
      <c r="Y19" s="261"/>
      <c r="Z19" s="261"/>
      <c r="AA19" s="261"/>
      <c r="AB19" s="261"/>
    </row>
    <row r="20" spans="1:31" s="138" customFormat="1" ht="15" customHeight="1" x14ac:dyDescent="0.2">
      <c r="E20" s="264"/>
      <c r="F20" s="38"/>
      <c r="G20" s="38"/>
      <c r="H20" s="38"/>
      <c r="I20" s="38"/>
      <c r="J20" s="38"/>
      <c r="K20" s="38"/>
      <c r="L20" s="38"/>
      <c r="M20" s="38"/>
      <c r="N20" s="39"/>
      <c r="O20" s="39"/>
      <c r="P20" s="39"/>
      <c r="Q20" s="39"/>
      <c r="R20" s="39"/>
      <c r="S20" s="265"/>
      <c r="T20" s="266"/>
      <c r="U20" s="266"/>
      <c r="V20" s="266"/>
      <c r="W20" s="266"/>
      <c r="X20" s="267"/>
      <c r="Y20" s="268"/>
      <c r="Z20" s="268"/>
      <c r="AA20" s="268"/>
      <c r="AB20" s="268"/>
    </row>
    <row r="21" spans="1:31" s="35" customFormat="1" ht="15" customHeight="1" x14ac:dyDescent="0.2">
      <c r="A21" s="119"/>
      <c r="E21" s="38"/>
      <c r="F21" s="38"/>
      <c r="G21" s="38"/>
      <c r="H21" s="38"/>
      <c r="I21" s="38"/>
      <c r="J21" s="38"/>
      <c r="K21" s="38"/>
      <c r="L21" s="38"/>
      <c r="M21" s="38"/>
      <c r="N21" s="39"/>
      <c r="O21" s="39"/>
      <c r="P21" s="39"/>
      <c r="Q21" s="39"/>
      <c r="R21" s="39"/>
      <c r="S21" s="37"/>
      <c r="T21" s="37"/>
      <c r="U21" s="37"/>
      <c r="V21" s="37"/>
      <c r="W21" s="37"/>
      <c r="X21" s="40"/>
      <c r="Y21" s="40"/>
      <c r="Z21" s="40"/>
      <c r="AA21" s="40"/>
      <c r="AB21" s="40"/>
    </row>
    <row r="22" spans="1:31" s="37" customFormat="1" ht="15" customHeight="1" x14ac:dyDescent="0.2">
      <c r="B22" s="36" t="s">
        <v>1</v>
      </c>
      <c r="C22" s="36"/>
      <c r="D22" s="36"/>
      <c r="E22" s="36"/>
      <c r="F22" s="36"/>
      <c r="G22" s="36"/>
      <c r="H22" s="36"/>
    </row>
    <row r="24" spans="1:31" ht="15" customHeight="1" x14ac:dyDescent="0.2">
      <c r="B24" s="151" t="s">
        <v>332</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row>
    <row r="25" spans="1:31" ht="15" customHeight="1" x14ac:dyDescent="0.2">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row>
    <row r="26" spans="1:31" s="107" customFormat="1" ht="15" customHeight="1" x14ac:dyDescent="0.2">
      <c r="A26" s="119"/>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row>
    <row r="27" spans="1:31" s="107" customFormat="1" ht="15" customHeight="1" x14ac:dyDescent="0.2">
      <c r="A27" s="119"/>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row>
    <row r="28" spans="1:31" s="107" customFormat="1" ht="15" customHeight="1" x14ac:dyDescent="0.2">
      <c r="A28" s="119"/>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row>
    <row r="29" spans="1:31" s="107" customFormat="1" ht="15" customHeight="1" x14ac:dyDescent="0.2">
      <c r="A29" s="119"/>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row>
    <row r="30" spans="1:31" ht="15" customHeight="1" x14ac:dyDescent="0.2">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row>
    <row r="31" spans="1:31" ht="15" customHeight="1" x14ac:dyDescent="0.2">
      <c r="B31" s="36" t="s">
        <v>2</v>
      </c>
      <c r="C31" s="36"/>
      <c r="D31" s="36"/>
      <c r="E31" s="36"/>
      <c r="F31" s="36"/>
      <c r="G31" s="36"/>
      <c r="H31" s="36"/>
      <c r="I31" s="36"/>
      <c r="J31" s="37"/>
      <c r="K31" s="37"/>
      <c r="L31" s="37"/>
      <c r="M31" s="37"/>
      <c r="N31" s="37"/>
      <c r="O31" s="37"/>
      <c r="P31" s="37"/>
      <c r="Q31" s="37"/>
      <c r="R31" s="37"/>
      <c r="S31" s="37"/>
      <c r="T31" s="37"/>
      <c r="U31" s="37"/>
      <c r="V31" s="37"/>
      <c r="W31" s="37"/>
      <c r="X31" s="37"/>
      <c r="Y31" s="37"/>
      <c r="Z31" s="37"/>
      <c r="AA31" s="37"/>
      <c r="AB31" s="37"/>
      <c r="AC31" s="37"/>
      <c r="AD31" s="37"/>
      <c r="AE31" s="37"/>
    </row>
    <row r="33" spans="1:31" ht="15" customHeight="1" x14ac:dyDescent="0.2">
      <c r="B33" s="147" t="s">
        <v>317</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row>
    <row r="34" spans="1:31" ht="15" customHeight="1" x14ac:dyDescent="0.2">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row>
    <row r="35" spans="1:31" s="37" customFormat="1" ht="15" customHeight="1" x14ac:dyDescent="0.2">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row>
    <row r="36" spans="1:31" ht="15" customHeight="1" x14ac:dyDescent="0.2">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row>
    <row r="37" spans="1:31" s="107" customFormat="1" ht="15" customHeight="1" x14ac:dyDescent="0.2">
      <c r="A37" s="119"/>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row>
    <row r="38" spans="1:31" s="107" customFormat="1" ht="15" customHeight="1" x14ac:dyDescent="0.2">
      <c r="A38" s="119"/>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row>
    <row r="39" spans="1:31" s="107" customFormat="1" ht="15" customHeight="1" x14ac:dyDescent="0.2">
      <c r="A39" s="119"/>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row>
    <row r="40" spans="1:31" s="107" customFormat="1" ht="15" customHeight="1" x14ac:dyDescent="0.2">
      <c r="A40" s="119"/>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row>
    <row r="41" spans="1:31" s="107" customFormat="1" ht="15" customHeight="1" x14ac:dyDescent="0.2">
      <c r="A41" s="119"/>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row>
    <row r="42" spans="1:31" s="124" customFormat="1" ht="15" customHeight="1" x14ac:dyDescent="0.2">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row>
    <row r="43" spans="1:31" s="107" customFormat="1" ht="15" customHeight="1" x14ac:dyDescent="0.2">
      <c r="A43" s="119"/>
      <c r="B43" s="36" t="s">
        <v>3</v>
      </c>
      <c r="C43" s="36"/>
      <c r="D43" s="3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row>
    <row r="44" spans="1:31" s="107" customFormat="1" ht="15" customHeight="1" x14ac:dyDescent="0.2">
      <c r="A44" s="119"/>
      <c r="B44"/>
      <c r="C44"/>
      <c r="D44"/>
      <c r="E44"/>
      <c r="F44"/>
      <c r="G44"/>
      <c r="H44"/>
      <c r="I44"/>
      <c r="J44"/>
      <c r="K44"/>
      <c r="L44"/>
      <c r="M44"/>
      <c r="N44"/>
      <c r="O44"/>
      <c r="P44"/>
      <c r="Q44"/>
      <c r="R44"/>
      <c r="S44"/>
      <c r="T44"/>
      <c r="U44"/>
      <c r="V44"/>
      <c r="W44"/>
      <c r="X44"/>
      <c r="Y44"/>
      <c r="Z44"/>
      <c r="AA44"/>
      <c r="AB44"/>
      <c r="AC44"/>
      <c r="AD44"/>
      <c r="AE44"/>
    </row>
    <row r="45" spans="1:31" s="107" customFormat="1" ht="15" customHeight="1" x14ac:dyDescent="0.2">
      <c r="A45" s="119"/>
      <c r="B45" s="147" t="str">
        <f ca="1">"Adjust your minimum discharge pressure set points to " &amp;TEXT(Analysis!C17,"###")&amp; " psig ("&amp;TEXT(Analysis!C18,"###.0")&amp;"°F). "&amp;"Completing this procedure can be done in regular working hours by maintenance personnel so there are no implementation costs. "&amp;"If implemented, the recommended actions will save "&amp;TEXT(Analysis!J13,"###,###")&amp;" kWh annually and result in an annual cost savings of "&amp;TEXT(Analysis!J16,"$###,###")&amp;" with an immediate payback."</f>
        <v>Adjust your minimum discharge pressure set points to 100 psig (63.5°F). Completing this procedure can be done in regular working hours by maintenance personnel so there are no implementation costs. If implemented, the recommended actions will save 169,640 kWh annually and result in an annual cost savings of $8,482 with an immediate payback.</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row>
    <row r="46" spans="1:31" ht="15" customHeight="1" x14ac:dyDescent="0.2">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row>
    <row r="47" spans="1:31" ht="15" customHeight="1" x14ac:dyDescent="0.2">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row>
    <row r="48" spans="1:31" s="124" customFormat="1" ht="15" customHeight="1" x14ac:dyDescent="0.2">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31" s="37" customFormat="1" ht="15" customHeight="1" x14ac:dyDescent="0.2">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row>
    <row r="52" spans="1:31" s="107" customFormat="1" ht="15" customHeight="1" x14ac:dyDescent="0.2">
      <c r="A52" s="119"/>
    </row>
    <row r="54" spans="1:31" s="107" customFormat="1" ht="15" customHeight="1" x14ac:dyDescent="0.2">
      <c r="A54" s="119"/>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row>
    <row r="55" spans="1:31" s="107" customFormat="1" ht="15" customHeight="1" x14ac:dyDescent="0.2">
      <c r="A55" s="119"/>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row>
    <row r="56" spans="1:31" s="107" customFormat="1" ht="15" customHeight="1" x14ac:dyDescent="0.2">
      <c r="A56" s="119"/>
    </row>
    <row r="66" spans="1:31" ht="15" customHeight="1" x14ac:dyDescent="0.2">
      <c r="B66" s="36" t="s">
        <v>256</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row>
    <row r="67" spans="1:31" ht="1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row>
    <row r="68" spans="1:31" ht="15" customHeight="1" x14ac:dyDescent="0.2">
      <c r="B68" s="151" t="s">
        <v>318</v>
      </c>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row>
    <row r="69" spans="1:31" ht="15" customHeight="1" x14ac:dyDescent="0.2">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row>
    <row r="70" spans="1:31" ht="15" customHeight="1" x14ac:dyDescent="0.2">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row>
    <row r="71" spans="1:31" ht="15" customHeight="1" x14ac:dyDescent="0.2">
      <c r="B71" s="162" t="s">
        <v>319</v>
      </c>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row>
    <row r="72" spans="1:31" ht="15" customHeight="1" x14ac:dyDescent="0.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row>
    <row r="73" spans="1:31" ht="15" customHeight="1" x14ac:dyDescent="0.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row>
    <row r="74" spans="1:31" ht="15" customHeight="1" x14ac:dyDescent="0.2">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row>
    <row r="75" spans="1:31" ht="15" customHeight="1" x14ac:dyDescent="0.2">
      <c r="B75" s="162" t="s">
        <v>320</v>
      </c>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row>
    <row r="76" spans="1:31" ht="15" customHeight="1" x14ac:dyDescent="0.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row>
    <row r="77" spans="1:31" ht="15" customHeight="1" x14ac:dyDescent="0.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row>
    <row r="78" spans="1:31" ht="15" customHeight="1" x14ac:dyDescent="0.2">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row>
    <row r="79" spans="1:31" ht="15" customHeight="1" x14ac:dyDescent="0.2">
      <c r="B79" s="162" t="s">
        <v>321</v>
      </c>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row>
    <row r="80" spans="1:31" s="107" customFormat="1" ht="15" customHeight="1" x14ac:dyDescent="0.2">
      <c r="A80" s="119"/>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row>
    <row r="81" spans="1:31" ht="15" customHeight="1" x14ac:dyDescent="0.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row>
    <row r="82" spans="1:31" ht="15" customHeight="1" x14ac:dyDescent="0.2">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row>
    <row r="83" spans="1:31" ht="15" customHeight="1" x14ac:dyDescent="0.2">
      <c r="B83" s="162" t="s">
        <v>322</v>
      </c>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row>
    <row r="84" spans="1:31" ht="15" customHeight="1" x14ac:dyDescent="0.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row>
    <row r="85" spans="1:31" ht="15" customHeight="1" x14ac:dyDescent="0.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row>
    <row r="86" spans="1:31" ht="15" customHeight="1" x14ac:dyDescent="0.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row>
    <row r="87" spans="1:31" s="115" customFormat="1" ht="15" customHeight="1" x14ac:dyDescent="0.2">
      <c r="A87" s="119"/>
      <c r="B87" s="151" t="s">
        <v>323</v>
      </c>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row>
    <row r="88" spans="1:31" s="115" customFormat="1" ht="15" customHeight="1" x14ac:dyDescent="0.2">
      <c r="A88" s="119"/>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row>
    <row r="89" spans="1:31" ht="15" customHeight="1" x14ac:dyDescent="0.2">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ht="15" customHeight="1" x14ac:dyDescent="0.2">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ht="15" customHeight="1" x14ac:dyDescent="0.2">
      <c r="B91" s="148" t="s">
        <v>9</v>
      </c>
      <c r="C91" s="148"/>
      <c r="D91" s="148"/>
      <c r="E91" s="148"/>
      <c r="F91" s="148"/>
      <c r="G91" s="148"/>
      <c r="H91" s="148" t="s">
        <v>329</v>
      </c>
      <c r="I91" s="148"/>
      <c r="J91" s="148"/>
      <c r="K91" s="148"/>
      <c r="L91" s="148"/>
      <c r="M91" s="148"/>
      <c r="N91" s="148" t="s">
        <v>10</v>
      </c>
      <c r="O91" s="148"/>
      <c r="P91" s="148"/>
      <c r="Q91" s="148"/>
      <c r="R91" s="148"/>
      <c r="S91" s="148"/>
      <c r="T91" s="148" t="s">
        <v>330</v>
      </c>
      <c r="U91" s="148"/>
      <c r="V91" s="148"/>
      <c r="W91" s="148"/>
      <c r="X91" s="148"/>
      <c r="Y91" s="148"/>
      <c r="Z91" s="148" t="s">
        <v>331</v>
      </c>
      <c r="AA91" s="148"/>
      <c r="AB91" s="148"/>
      <c r="AC91" s="148"/>
      <c r="AD91" s="148"/>
      <c r="AE91" s="148"/>
    </row>
    <row r="92" spans="1:31" s="124" customFormat="1" ht="15" customHeight="1" x14ac:dyDescent="0.2">
      <c r="B92" s="154" t="s">
        <v>326</v>
      </c>
      <c r="C92" s="154"/>
      <c r="D92" s="154"/>
      <c r="E92" s="154"/>
      <c r="F92" s="154"/>
      <c r="G92" s="154"/>
      <c r="H92" s="154" t="s">
        <v>325</v>
      </c>
      <c r="I92" s="154"/>
      <c r="J92" s="154"/>
      <c r="K92" s="154"/>
      <c r="L92" s="154"/>
      <c r="M92" s="154"/>
      <c r="N92" s="154" t="s">
        <v>325</v>
      </c>
      <c r="O92" s="154"/>
      <c r="P92" s="154"/>
      <c r="Q92" s="154"/>
      <c r="R92" s="154"/>
      <c r="S92" s="154"/>
      <c r="T92" s="154" t="s">
        <v>325</v>
      </c>
      <c r="U92" s="154"/>
      <c r="V92" s="154"/>
      <c r="W92" s="154"/>
      <c r="X92" s="154"/>
      <c r="Y92" s="154"/>
      <c r="Z92" s="154" t="s">
        <v>325</v>
      </c>
      <c r="AA92" s="154"/>
      <c r="AB92" s="154"/>
      <c r="AC92" s="154"/>
      <c r="AD92" s="154"/>
      <c r="AE92" s="154"/>
    </row>
    <row r="93" spans="1:31" ht="15" customHeight="1" x14ac:dyDescent="0.2">
      <c r="H93" s="154" t="s">
        <v>325</v>
      </c>
      <c r="I93" s="154"/>
      <c r="J93" s="154"/>
      <c r="K93" s="154"/>
      <c r="L93" s="154"/>
      <c r="M93" s="154"/>
      <c r="N93" s="155"/>
      <c r="O93" s="155"/>
      <c r="P93" s="155"/>
      <c r="Q93" s="155"/>
      <c r="R93" s="155"/>
      <c r="S93" s="155"/>
      <c r="T93" s="155"/>
      <c r="U93" s="155"/>
      <c r="V93" s="155"/>
      <c r="W93" s="155"/>
      <c r="X93" s="155"/>
      <c r="Y93" s="155"/>
      <c r="Z93" s="155"/>
      <c r="AA93" s="155"/>
      <c r="AB93" s="155"/>
      <c r="AC93" s="155"/>
      <c r="AD93" s="155"/>
      <c r="AE93" s="155"/>
    </row>
  </sheetData>
  <mergeCells count="64">
    <mergeCell ref="A1:AF1"/>
    <mergeCell ref="X18:AB18"/>
    <mergeCell ref="E16:AB16"/>
    <mergeCell ref="E17:M17"/>
    <mergeCell ref="N17:R17"/>
    <mergeCell ref="S17:W17"/>
    <mergeCell ref="X17:AB17"/>
    <mergeCell ref="X10:AB10"/>
    <mergeCell ref="X11:AB11"/>
    <mergeCell ref="X12:AB12"/>
    <mergeCell ref="X13:AB13"/>
    <mergeCell ref="X14:AB14"/>
    <mergeCell ref="S9:W9"/>
    <mergeCell ref="E13:M13"/>
    <mergeCell ref="X9:AB9"/>
    <mergeCell ref="E10:M10"/>
    <mergeCell ref="N18:R18"/>
    <mergeCell ref="B68:AE69"/>
    <mergeCell ref="B71:AE73"/>
    <mergeCell ref="B75:AE77"/>
    <mergeCell ref="E11:M11"/>
    <mergeCell ref="E12:M12"/>
    <mergeCell ref="S18:W18"/>
    <mergeCell ref="E19:M19"/>
    <mergeCell ref="N19:R19"/>
    <mergeCell ref="S19:W19"/>
    <mergeCell ref="X19:AB19"/>
    <mergeCell ref="B92:G92"/>
    <mergeCell ref="H92:M92"/>
    <mergeCell ref="N92:S92"/>
    <mergeCell ref="N10:R10"/>
    <mergeCell ref="N11:R11"/>
    <mergeCell ref="B24:AE28"/>
    <mergeCell ref="Z92:AE92"/>
    <mergeCell ref="N12:R12"/>
    <mergeCell ref="N13:R13"/>
    <mergeCell ref="S10:W10"/>
    <mergeCell ref="S11:W11"/>
    <mergeCell ref="S12:W12"/>
    <mergeCell ref="S13:W13"/>
    <mergeCell ref="B79:AE81"/>
    <mergeCell ref="B83:AE86"/>
    <mergeCell ref="N14:R14"/>
    <mergeCell ref="H93:M93"/>
    <mergeCell ref="N93:S93"/>
    <mergeCell ref="T93:Y93"/>
    <mergeCell ref="T92:Y92"/>
    <mergeCell ref="Z93:AE93"/>
    <mergeCell ref="A2:AF2"/>
    <mergeCell ref="B5:AE6"/>
    <mergeCell ref="B33:AE41"/>
    <mergeCell ref="B91:G91"/>
    <mergeCell ref="H91:M91"/>
    <mergeCell ref="N91:S91"/>
    <mergeCell ref="T91:Y91"/>
    <mergeCell ref="Z91:AE91"/>
    <mergeCell ref="E8:AB8"/>
    <mergeCell ref="E9:M9"/>
    <mergeCell ref="N9:R9"/>
    <mergeCell ref="B45:AE48"/>
    <mergeCell ref="B87:AE88"/>
    <mergeCell ref="S14:W14"/>
    <mergeCell ref="E14:M14"/>
    <mergeCell ref="E18:M18"/>
  </mergeCells>
  <dataValidations count="1">
    <dataValidation type="list" allowBlank="1" showInputMessage="1" showErrorMessage="1" sqref="B92:G92">
      <formula1>"Unmodified Template, Modified Template, Original Template"</formula1>
    </dataValidation>
  </dataValidations>
  <printOptions horizontalCentered="1"/>
  <pageMargins left="0.25" right="0.25" top="0.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E10:M13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18"/>
  <sheetViews>
    <sheetView showGridLines="0" view="pageBreakPreview" zoomScaleNormal="100" zoomScaleSheetLayoutView="100" workbookViewId="0">
      <selection activeCell="J18" sqref="J18"/>
    </sheetView>
  </sheetViews>
  <sheetFormatPr defaultRowHeight="12.75" x14ac:dyDescent="0.2"/>
  <cols>
    <col min="1" max="1" width="32.5" style="1" customWidth="1"/>
    <col min="2" max="2" width="6.6640625" style="1" customWidth="1"/>
    <col min="3" max="3" width="10.83203125" style="1" customWidth="1"/>
    <col min="4" max="5" width="10" style="1" customWidth="1"/>
    <col min="6" max="6" width="1.6640625" style="1" customWidth="1"/>
    <col min="7" max="7" width="36.6640625" style="1" customWidth="1"/>
    <col min="8" max="8" width="32.5" style="1" customWidth="1"/>
    <col min="9" max="9" width="6.6640625" style="1" customWidth="1"/>
    <col min="10" max="10" width="10.83203125" style="1" customWidth="1"/>
    <col min="11" max="12" width="10" style="1" customWidth="1"/>
    <col min="13" max="13" width="1.6640625" style="1" customWidth="1"/>
    <col min="14" max="14" width="36.6640625" style="1" customWidth="1"/>
    <col min="15" max="19" width="13.1640625" style="1" customWidth="1"/>
    <col min="20" max="22" width="14.1640625" style="1" customWidth="1"/>
    <col min="23" max="27" width="13.1640625" style="1" customWidth="1"/>
    <col min="28" max="30" width="14.1640625" style="1" customWidth="1"/>
    <col min="31" max="31" width="9.33203125" style="1"/>
    <col min="32" max="32" width="16.6640625" style="1" customWidth="1"/>
    <col min="33" max="34" width="9.33203125" style="1"/>
    <col min="35" max="35" width="13.6640625" style="1" bestFit="1" customWidth="1"/>
    <col min="36" max="37" width="9.33203125" style="1"/>
    <col min="38" max="38" width="9.5" style="1" bestFit="1" customWidth="1"/>
    <col min="39" max="39" width="8.6640625" style="1" customWidth="1"/>
    <col min="40" max="42" width="9.33203125" style="1"/>
    <col min="43" max="43" width="10.6640625" style="1" bestFit="1" customWidth="1"/>
    <col min="44" max="16384" width="9.33203125" style="1"/>
  </cols>
  <sheetData>
    <row r="1" spans="1:57" s="2" customFormat="1" ht="30" customHeight="1" x14ac:dyDescent="0.2">
      <c r="A1" s="185" t="str">
        <f>"AR No. "&amp;'Database Export'!A3&amp;" - Analysis"</f>
        <v>AR No. # - Analysis</v>
      </c>
      <c r="B1" s="185"/>
      <c r="C1" s="185"/>
      <c r="D1" s="185"/>
      <c r="E1" s="185"/>
      <c r="F1" s="185"/>
      <c r="G1" s="185"/>
      <c r="H1" s="185" t="str">
        <f>A1</f>
        <v>AR No. # - Analysis</v>
      </c>
      <c r="I1" s="185"/>
      <c r="J1" s="185"/>
      <c r="K1" s="185"/>
      <c r="L1" s="185"/>
      <c r="M1" s="185"/>
      <c r="N1" s="185"/>
      <c r="O1" s="178" t="str">
        <f>A1</f>
        <v>AR No. # - Analysis</v>
      </c>
      <c r="P1" s="179"/>
      <c r="Q1" s="179"/>
      <c r="R1" s="179"/>
      <c r="S1" s="179"/>
      <c r="T1" s="179"/>
      <c r="U1" s="179"/>
      <c r="V1" s="179"/>
      <c r="W1" s="178" t="str">
        <f>A1</f>
        <v>AR No. # - Analysis</v>
      </c>
      <c r="X1" s="179"/>
      <c r="Y1" s="179"/>
      <c r="Z1" s="179"/>
      <c r="AA1" s="179"/>
      <c r="AB1" s="179"/>
      <c r="AC1" s="179"/>
      <c r="AD1" s="179"/>
      <c r="AE1" s="1"/>
      <c r="AF1" s="1"/>
      <c r="AG1" s="1"/>
      <c r="AH1" s="1"/>
      <c r="AI1" s="1"/>
      <c r="AJ1" s="1"/>
      <c r="AK1" s="1"/>
      <c r="AL1" s="1"/>
      <c r="AM1" s="1"/>
      <c r="AN1" s="1"/>
      <c r="AO1" s="1"/>
      <c r="AP1" s="1"/>
      <c r="AQ1" s="1"/>
      <c r="AR1" s="1"/>
      <c r="AS1" s="1"/>
      <c r="AT1" s="1"/>
      <c r="AU1" s="1"/>
      <c r="AV1" s="1"/>
      <c r="AW1" s="1"/>
      <c r="AX1" s="1"/>
      <c r="AY1" s="1"/>
      <c r="AZ1" s="1"/>
      <c r="BA1" s="1"/>
      <c r="BB1" s="1"/>
      <c r="BC1" s="1"/>
      <c r="BD1" s="1"/>
      <c r="BE1" s="1"/>
    </row>
    <row r="2" spans="1:57" ht="15" customHeight="1" x14ac:dyDescent="0.2">
      <c r="A2" s="189" t="str">
        <f>Narrative!A2</f>
        <v>Refrigeration Discharge Pressure Template style 2015</v>
      </c>
      <c r="B2" s="189"/>
      <c r="C2" s="189"/>
      <c r="D2" s="189"/>
      <c r="E2" s="189"/>
      <c r="F2" s="189"/>
      <c r="G2" s="189"/>
      <c r="H2" s="189" t="str">
        <f>Narrative!A2</f>
        <v>Refrigeration Discharge Pressure Template style 2015</v>
      </c>
      <c r="I2" s="189"/>
      <c r="J2" s="189"/>
      <c r="K2" s="189"/>
      <c r="L2" s="189"/>
      <c r="M2" s="189"/>
      <c r="N2" s="189"/>
      <c r="O2" s="190" t="str">
        <f>Narrative!A2</f>
        <v>Refrigeration Discharge Pressure Template style 2015</v>
      </c>
      <c r="P2" s="190"/>
      <c r="Q2" s="190"/>
      <c r="R2" s="190"/>
      <c r="S2" s="190"/>
      <c r="T2" s="190"/>
      <c r="U2" s="190"/>
      <c r="V2" s="190"/>
      <c r="W2" s="190" t="str">
        <f>Narrative!A2</f>
        <v>Refrigeration Discharge Pressure Template style 2015</v>
      </c>
      <c r="X2" s="190"/>
      <c r="Y2" s="190"/>
      <c r="Z2" s="190"/>
      <c r="AA2" s="190"/>
      <c r="AB2" s="190"/>
      <c r="AC2" s="190"/>
      <c r="AD2" s="190"/>
    </row>
    <row r="3" spans="1:57" ht="15" customHeight="1" x14ac:dyDescent="0.2">
      <c r="A3" s="3" t="s">
        <v>266</v>
      </c>
      <c r="B3" s="3"/>
      <c r="C3" s="3"/>
      <c r="D3" s="3"/>
      <c r="E3" s="3"/>
      <c r="F3" s="44"/>
      <c r="G3" s="3" t="s">
        <v>152</v>
      </c>
      <c r="H3" s="3" t="s">
        <v>171</v>
      </c>
      <c r="I3" s="3"/>
      <c r="J3" s="3"/>
      <c r="K3" s="3"/>
      <c r="L3" s="3"/>
      <c r="M3" s="44"/>
      <c r="N3" s="3" t="s">
        <v>152</v>
      </c>
      <c r="O3" s="143" t="s">
        <v>211</v>
      </c>
      <c r="P3" s="143"/>
      <c r="Q3" s="143"/>
      <c r="R3" s="143"/>
      <c r="S3" s="143"/>
      <c r="T3" s="143"/>
      <c r="U3" s="143"/>
      <c r="V3" s="143"/>
      <c r="W3" s="143" t="s">
        <v>232</v>
      </c>
      <c r="X3" s="143"/>
      <c r="Y3" s="143"/>
      <c r="Z3" s="143"/>
      <c r="AA3" s="143"/>
      <c r="AB3" s="143"/>
      <c r="AC3" s="143"/>
      <c r="AD3" s="143"/>
    </row>
    <row r="4" spans="1:57" ht="15" customHeight="1" x14ac:dyDescent="0.25">
      <c r="A4" s="6" t="s">
        <v>170</v>
      </c>
      <c r="B4" s="6"/>
      <c r="C4" s="6"/>
      <c r="D4" s="6"/>
      <c r="E4" s="6"/>
      <c r="F4" s="44"/>
      <c r="G4" s="41" t="s">
        <v>269</v>
      </c>
      <c r="H4" s="6" t="s">
        <v>204</v>
      </c>
      <c r="I4" s="6"/>
      <c r="J4" s="6"/>
      <c r="K4" s="6"/>
      <c r="L4" s="6"/>
      <c r="M4" s="44"/>
      <c r="N4" s="41" t="s">
        <v>281</v>
      </c>
      <c r="O4" s="187" t="s">
        <v>210</v>
      </c>
      <c r="P4" s="187"/>
      <c r="Q4" s="76" t="s">
        <v>212</v>
      </c>
      <c r="R4" s="76" t="s">
        <v>222</v>
      </c>
      <c r="S4" s="76" t="s">
        <v>167</v>
      </c>
      <c r="T4" s="76" t="s">
        <v>357</v>
      </c>
      <c r="U4" s="76" t="s">
        <v>213</v>
      </c>
      <c r="V4" s="76" t="s">
        <v>358</v>
      </c>
      <c r="W4" s="183" t="s">
        <v>231</v>
      </c>
      <c r="X4" s="183"/>
      <c r="Y4" s="91" t="s">
        <v>5</v>
      </c>
      <c r="Z4" s="91" t="s">
        <v>212</v>
      </c>
      <c r="AA4" s="91" t="s">
        <v>222</v>
      </c>
      <c r="AB4" s="91" t="s">
        <v>167</v>
      </c>
      <c r="AC4" s="91" t="s">
        <v>213</v>
      </c>
      <c r="AD4" s="91" t="s">
        <v>358</v>
      </c>
    </row>
    <row r="5" spans="1:57" ht="15" customHeight="1" x14ac:dyDescent="0.2">
      <c r="A5" s="42" t="s">
        <v>161</v>
      </c>
      <c r="C5" s="186" t="s">
        <v>180</v>
      </c>
      <c r="D5" s="186"/>
      <c r="E5" s="7" t="s">
        <v>155</v>
      </c>
      <c r="F5" s="44"/>
      <c r="H5" s="42" t="s">
        <v>206</v>
      </c>
      <c r="I5" s="54" t="s">
        <v>273</v>
      </c>
      <c r="J5" s="46">
        <f>V12</f>
        <v>1203324.3157894739</v>
      </c>
      <c r="K5" s="55" t="s">
        <v>209</v>
      </c>
      <c r="L5" s="7" t="s">
        <v>296</v>
      </c>
      <c r="M5" s="44"/>
      <c r="N5" s="44"/>
      <c r="O5" s="188"/>
      <c r="P5" s="188"/>
      <c r="Q5" s="78" t="s">
        <v>252</v>
      </c>
      <c r="R5" s="78" t="s">
        <v>253</v>
      </c>
      <c r="S5" s="78" t="s">
        <v>297</v>
      </c>
      <c r="T5" s="78" t="s">
        <v>254</v>
      </c>
      <c r="U5" s="78" t="s">
        <v>350</v>
      </c>
      <c r="V5" s="78" t="s">
        <v>351</v>
      </c>
      <c r="W5" s="184"/>
      <c r="X5" s="184"/>
      <c r="Y5" s="78" t="s">
        <v>255</v>
      </c>
      <c r="Z5" s="78" t="s">
        <v>252</v>
      </c>
      <c r="AA5" s="78" t="s">
        <v>253</v>
      </c>
      <c r="AB5" s="78" t="s">
        <v>297</v>
      </c>
      <c r="AC5" s="78" t="s">
        <v>359</v>
      </c>
      <c r="AD5" s="78" t="s">
        <v>336</v>
      </c>
    </row>
    <row r="6" spans="1:57" ht="15" customHeight="1" x14ac:dyDescent="0.25">
      <c r="A6" s="42" t="s">
        <v>162</v>
      </c>
      <c r="C6" s="186" t="s">
        <v>188</v>
      </c>
      <c r="D6" s="186"/>
      <c r="E6" s="7" t="s">
        <v>155</v>
      </c>
      <c r="F6" s="44"/>
      <c r="H6" s="42" t="s">
        <v>207</v>
      </c>
      <c r="I6" s="54" t="s">
        <v>274</v>
      </c>
      <c r="J6" s="46">
        <f ca="1">AB44</f>
        <v>94065.362623504916</v>
      </c>
      <c r="K6" s="55" t="s">
        <v>209</v>
      </c>
      <c r="L6" s="7" t="s">
        <v>296</v>
      </c>
      <c r="M6" s="44"/>
      <c r="N6" s="41" t="s">
        <v>282</v>
      </c>
      <c r="O6" s="63"/>
      <c r="P6" s="63"/>
      <c r="Q6" s="75" t="s">
        <v>223</v>
      </c>
      <c r="R6" s="75"/>
      <c r="S6" s="75"/>
      <c r="T6" s="75"/>
      <c r="U6" s="75" t="s">
        <v>228</v>
      </c>
      <c r="V6" s="75" t="s">
        <v>226</v>
      </c>
      <c r="W6" s="63"/>
      <c r="X6" s="63"/>
      <c r="Y6" s="75"/>
      <c r="Z6" s="75" t="s">
        <v>223</v>
      </c>
      <c r="AA6" s="75"/>
      <c r="AB6" s="75"/>
      <c r="AC6" s="75" t="s">
        <v>228</v>
      </c>
      <c r="AD6" s="75" t="s">
        <v>226</v>
      </c>
    </row>
    <row r="7" spans="1:57" ht="15" customHeight="1" x14ac:dyDescent="0.2">
      <c r="A7" s="90" t="s">
        <v>239</v>
      </c>
      <c r="B7" s="54"/>
      <c r="C7" s="186" t="s">
        <v>333</v>
      </c>
      <c r="D7" s="186"/>
      <c r="E7" s="7" t="s">
        <v>155</v>
      </c>
      <c r="F7" s="44"/>
      <c r="H7" s="47" t="s">
        <v>208</v>
      </c>
      <c r="I7" s="54" t="s">
        <v>275</v>
      </c>
      <c r="J7" s="46">
        <f ca="1">J5+J6</f>
        <v>1297389.6784129788</v>
      </c>
      <c r="K7" s="55" t="s">
        <v>209</v>
      </c>
      <c r="L7" s="7" t="s">
        <v>157</v>
      </c>
      <c r="M7" s="44"/>
      <c r="N7" s="44"/>
      <c r="O7" s="182" t="s">
        <v>334</v>
      </c>
      <c r="P7" s="182"/>
      <c r="Q7" s="64">
        <v>250</v>
      </c>
      <c r="R7" s="62">
        <v>0.95</v>
      </c>
      <c r="S7" s="62">
        <v>0.7</v>
      </c>
      <c r="T7" s="62">
        <v>1</v>
      </c>
      <c r="U7" s="92">
        <f>IF(O7="", "-", (Q7*S7/R7)*(0.7457/1))</f>
        <v>137.36578947368423</v>
      </c>
      <c r="V7" s="95">
        <f>IF(O7="", "-", U7*T7*$C$8)</f>
        <v>1203324.3157894739</v>
      </c>
      <c r="W7" s="182" t="s">
        <v>335</v>
      </c>
      <c r="X7" s="182"/>
      <c r="Y7" s="64">
        <v>5</v>
      </c>
      <c r="Z7" s="64">
        <v>5</v>
      </c>
      <c r="AA7" s="62">
        <v>0.95</v>
      </c>
      <c r="AB7" s="109">
        <v>0.9</v>
      </c>
      <c r="AC7" s="99">
        <f>IF(W7="", "-", (Y7*Z7*AB7/AA7)*(0.7457/1))</f>
        <v>17.661315789473687</v>
      </c>
      <c r="AD7" s="95">
        <f ca="1">IF(W7="", "-",IF($C$7="On-Off",(AC7*$AF$44),AC7*(($AF$44^3)/$C$22)*$Y$44))</f>
        <v>94065.362623504901</v>
      </c>
      <c r="AF7" s="135"/>
    </row>
    <row r="8" spans="1:57" ht="15" customHeight="1" x14ac:dyDescent="0.2">
      <c r="A8" s="42" t="s">
        <v>163</v>
      </c>
      <c r="B8" s="54" t="s">
        <v>189</v>
      </c>
      <c r="C8" s="45">
        <v>8760</v>
      </c>
      <c r="D8" s="55" t="s">
        <v>191</v>
      </c>
      <c r="E8" s="7" t="s">
        <v>155</v>
      </c>
      <c r="F8" s="44"/>
      <c r="H8" s="6" t="s">
        <v>205</v>
      </c>
      <c r="I8" s="6"/>
      <c r="J8" s="6"/>
      <c r="K8" s="6"/>
      <c r="L8" s="6"/>
      <c r="M8" s="44"/>
      <c r="N8" s="41" t="s">
        <v>341</v>
      </c>
      <c r="O8" s="182"/>
      <c r="P8" s="182"/>
      <c r="Q8" s="64"/>
      <c r="R8" s="62"/>
      <c r="S8" s="62"/>
      <c r="T8" s="62"/>
      <c r="U8" s="71" t="str">
        <f t="shared" ref="U8:U11" si="0">IF(O8="", "-", (Q8*S8/R8)*(0.7457/1))</f>
        <v>-</v>
      </c>
      <c r="V8" s="66" t="str">
        <f t="shared" ref="V8:V11" si="1">IF(O8="", "-", U8*T8*$C$8)</f>
        <v>-</v>
      </c>
      <c r="W8" s="182"/>
      <c r="X8" s="182"/>
      <c r="Y8" s="64"/>
      <c r="Z8" s="64"/>
      <c r="AA8" s="62"/>
      <c r="AB8" s="109"/>
      <c r="AC8" s="129" t="str">
        <f>IF(W8="", "-", (Y8*Z8*AB8/AA8)*(0.7457/1))</f>
        <v>-</v>
      </c>
      <c r="AD8" s="66" t="str">
        <f t="shared" ref="AD8:AD11" si="2">IF(W8="", "-",IF($C$7="On-Off",(AC8*$AF$44),AC8*(($AF$44^3)/$C$22)*$Y$44))</f>
        <v>-</v>
      </c>
    </row>
    <row r="9" spans="1:57" ht="15" customHeight="1" x14ac:dyDescent="0.2">
      <c r="A9" s="6" t="s">
        <v>202</v>
      </c>
      <c r="B9" s="6"/>
      <c r="C9" s="6"/>
      <c r="D9" s="6"/>
      <c r="E9" s="6"/>
      <c r="F9" s="44"/>
      <c r="H9" s="47" t="s">
        <v>206</v>
      </c>
      <c r="I9" s="54" t="s">
        <v>276</v>
      </c>
      <c r="J9" s="46">
        <f ca="1">J5-V44</f>
        <v>991720.6597791831</v>
      </c>
      <c r="K9" s="55" t="s">
        <v>209</v>
      </c>
      <c r="L9" s="7" t="s">
        <v>296</v>
      </c>
      <c r="M9" s="44"/>
      <c r="O9" s="182"/>
      <c r="P9" s="182"/>
      <c r="Q9" s="64"/>
      <c r="R9" s="62"/>
      <c r="S9" s="62"/>
      <c r="T9" s="62"/>
      <c r="U9" s="92" t="str">
        <f t="shared" si="0"/>
        <v>-</v>
      </c>
      <c r="V9" s="95" t="str">
        <f t="shared" si="1"/>
        <v>-</v>
      </c>
      <c r="W9" s="182"/>
      <c r="X9" s="182"/>
      <c r="Y9" s="64"/>
      <c r="Z9" s="64"/>
      <c r="AA9" s="62"/>
      <c r="AB9" s="109"/>
      <c r="AC9" s="99" t="str">
        <f>IF(W9="", "-", (Y9*Z9*AB9/AA9)*(0.7457/1))</f>
        <v>-</v>
      </c>
      <c r="AD9" s="95" t="str">
        <f t="shared" si="2"/>
        <v>-</v>
      </c>
    </row>
    <row r="10" spans="1:57" ht="15" customHeight="1" x14ac:dyDescent="0.2">
      <c r="A10" s="42" t="s">
        <v>164</v>
      </c>
      <c r="B10" s="54" t="s">
        <v>194</v>
      </c>
      <c r="C10" s="56">
        <v>150</v>
      </c>
      <c r="D10" s="58" t="s">
        <v>193</v>
      </c>
      <c r="E10" s="7" t="s">
        <v>155</v>
      </c>
      <c r="F10" s="44"/>
      <c r="H10" s="47" t="s">
        <v>207</v>
      </c>
      <c r="I10" s="54" t="s">
        <v>277</v>
      </c>
      <c r="J10" s="46">
        <f ca="1">AC44</f>
        <v>136029.39390926386</v>
      </c>
      <c r="K10" s="55" t="s">
        <v>209</v>
      </c>
      <c r="L10" s="7" t="s">
        <v>296</v>
      </c>
      <c r="M10" s="44"/>
      <c r="N10" s="1" t="s">
        <v>343</v>
      </c>
      <c r="O10" s="182"/>
      <c r="P10" s="182"/>
      <c r="Q10" s="64"/>
      <c r="R10" s="62"/>
      <c r="S10" s="62"/>
      <c r="T10" s="62"/>
      <c r="U10" s="71" t="str">
        <f t="shared" si="0"/>
        <v>-</v>
      </c>
      <c r="V10" s="66" t="str">
        <f t="shared" si="1"/>
        <v>-</v>
      </c>
      <c r="W10" s="182"/>
      <c r="X10" s="182"/>
      <c r="Y10" s="64"/>
      <c r="Z10" s="64"/>
      <c r="AA10" s="62"/>
      <c r="AB10" s="109"/>
      <c r="AC10" s="66" t="str">
        <f>IF(W10="", "-", (Y10*Z10*AB10/AA10)*(0.7457/1))</f>
        <v>-</v>
      </c>
      <c r="AD10" s="66" t="str">
        <f t="shared" si="2"/>
        <v>-</v>
      </c>
    </row>
    <row r="11" spans="1:57" ht="15" customHeight="1" x14ac:dyDescent="0.2">
      <c r="A11" s="42" t="s">
        <v>165</v>
      </c>
      <c r="B11" s="54" t="s">
        <v>195</v>
      </c>
      <c r="C11" s="57">
        <f ca="1">VLOOKUP(C5,'P-T Table'!$J$5:$M$11,2,FALSE)</f>
        <v>84.327272727272714</v>
      </c>
      <c r="D11" s="55" t="s">
        <v>190</v>
      </c>
      <c r="E11" s="7" t="s">
        <v>158</v>
      </c>
      <c r="F11" s="44"/>
      <c r="G11" s="3" t="s">
        <v>256</v>
      </c>
      <c r="H11" s="47" t="s">
        <v>208</v>
      </c>
      <c r="I11" s="54" t="s">
        <v>278</v>
      </c>
      <c r="J11" s="46">
        <f ca="1">J9+J10</f>
        <v>1127750.053688447</v>
      </c>
      <c r="K11" s="55" t="s">
        <v>209</v>
      </c>
      <c r="L11" s="7" t="s">
        <v>157</v>
      </c>
      <c r="M11" s="44"/>
      <c r="O11" s="182"/>
      <c r="P11" s="182"/>
      <c r="Q11" s="64"/>
      <c r="R11" s="62"/>
      <c r="S11" s="62"/>
      <c r="T11" s="62"/>
      <c r="U11" s="92" t="str">
        <f t="shared" si="0"/>
        <v>-</v>
      </c>
      <c r="V11" s="95" t="str">
        <f t="shared" si="1"/>
        <v>-</v>
      </c>
      <c r="W11" s="182"/>
      <c r="X11" s="182"/>
      <c r="Y11" s="64"/>
      <c r="Z11" s="64"/>
      <c r="AA11" s="62"/>
      <c r="AB11" s="109"/>
      <c r="AC11" s="95" t="str">
        <f>IF(W11="", "-", (Y11*Z11*AB11/AA11)*(0.7457/1))</f>
        <v>-</v>
      </c>
      <c r="AD11" s="95" t="str">
        <f t="shared" si="2"/>
        <v>-</v>
      </c>
    </row>
    <row r="12" spans="1:57" ht="15" customHeight="1" x14ac:dyDescent="0.2">
      <c r="A12" s="6" t="s">
        <v>153</v>
      </c>
      <c r="B12" s="6"/>
      <c r="C12" s="6"/>
      <c r="D12" s="6"/>
      <c r="E12" s="6"/>
      <c r="F12" s="44"/>
      <c r="G12" s="191" t="s">
        <v>258</v>
      </c>
      <c r="H12" s="6" t="s">
        <v>240</v>
      </c>
      <c r="I12" s="6"/>
      <c r="J12" s="6"/>
      <c r="K12" s="6"/>
      <c r="L12" s="6"/>
      <c r="M12" s="44"/>
      <c r="O12" s="85" t="s">
        <v>151</v>
      </c>
      <c r="P12" s="85"/>
      <c r="Q12" s="65">
        <f>SUM(Q7:Q11)</f>
        <v>250</v>
      </c>
      <c r="R12" s="85"/>
      <c r="S12" s="86"/>
      <c r="T12" s="87"/>
      <c r="U12" s="88">
        <f>SUM(U7:U11)</f>
        <v>137.36578947368423</v>
      </c>
      <c r="V12" s="89">
        <f>SUM(V7:V11)</f>
        <v>1203324.3157894739</v>
      </c>
      <c r="W12" s="85" t="s">
        <v>151</v>
      </c>
      <c r="X12" s="85"/>
      <c r="Y12" s="85"/>
      <c r="Z12" s="86"/>
      <c r="AA12" s="87"/>
      <c r="AB12" s="88"/>
      <c r="AC12" s="131">
        <f>SUM(AC7:AC11)</f>
        <v>17.661315789473687</v>
      </c>
      <c r="AD12" s="89">
        <f ca="1">SUM(AD7:AD11)</f>
        <v>94065.362623504901</v>
      </c>
    </row>
    <row r="13" spans="1:57" ht="15" customHeight="1" x14ac:dyDescent="0.25">
      <c r="A13" s="42" t="s">
        <v>201</v>
      </c>
      <c r="B13" s="54" t="s">
        <v>200</v>
      </c>
      <c r="C13" s="59">
        <v>0.05</v>
      </c>
      <c r="D13" s="55" t="s">
        <v>192</v>
      </c>
      <c r="E13" s="7" t="s">
        <v>154</v>
      </c>
      <c r="F13" s="44"/>
      <c r="G13" s="192"/>
      <c r="H13" s="90" t="s">
        <v>241</v>
      </c>
      <c r="I13" s="54" t="s">
        <v>279</v>
      </c>
      <c r="J13" s="46">
        <f ca="1">J7-J11</f>
        <v>169639.62472453178</v>
      </c>
      <c r="K13" s="55" t="s">
        <v>209</v>
      </c>
      <c r="L13" s="7" t="s">
        <v>250</v>
      </c>
      <c r="M13" s="44"/>
      <c r="N13" s="41" t="s">
        <v>344</v>
      </c>
      <c r="O13" s="79"/>
      <c r="P13" s="79"/>
      <c r="Q13" s="80"/>
      <c r="R13" s="79"/>
      <c r="S13" s="81"/>
      <c r="T13" s="82"/>
      <c r="U13" s="83"/>
      <c r="V13" s="84"/>
      <c r="W13" s="79"/>
      <c r="X13" s="79"/>
      <c r="Y13" s="80"/>
      <c r="Z13" s="79"/>
      <c r="AA13" s="81"/>
      <c r="AB13" s="82"/>
      <c r="AC13" s="83"/>
      <c r="AD13" s="84"/>
    </row>
    <row r="14" spans="1:57" ht="15" customHeight="1" x14ac:dyDescent="0.2">
      <c r="A14" s="44"/>
      <c r="B14" s="44"/>
      <c r="C14" s="44"/>
      <c r="D14" s="44"/>
      <c r="E14" s="44"/>
      <c r="F14" s="44"/>
      <c r="G14" s="192"/>
      <c r="H14" s="44"/>
      <c r="I14" s="44"/>
      <c r="J14" s="44"/>
      <c r="K14" s="44"/>
      <c r="L14" s="44"/>
      <c r="M14" s="44"/>
      <c r="O14" s="143" t="s">
        <v>220</v>
      </c>
      <c r="P14" s="143"/>
      <c r="Q14" s="143"/>
      <c r="R14" s="143"/>
      <c r="S14" s="143"/>
      <c r="T14" s="143"/>
      <c r="U14" s="143"/>
      <c r="V14" s="143"/>
      <c r="W14" s="143" t="s">
        <v>233</v>
      </c>
      <c r="X14" s="143"/>
      <c r="Y14" s="143"/>
      <c r="Z14" s="143"/>
      <c r="AA14" s="143"/>
      <c r="AB14" s="143"/>
      <c r="AC14" s="143"/>
      <c r="AD14" s="143"/>
    </row>
    <row r="15" spans="1:57" ht="15" customHeight="1" x14ac:dyDescent="0.2">
      <c r="A15" s="3" t="s">
        <v>168</v>
      </c>
      <c r="B15" s="3"/>
      <c r="C15" s="3"/>
      <c r="D15" s="3"/>
      <c r="E15" s="3"/>
      <c r="F15" s="44"/>
      <c r="G15" s="192"/>
      <c r="H15" s="3" t="s">
        <v>203</v>
      </c>
      <c r="I15" s="3"/>
      <c r="J15" s="3"/>
      <c r="K15" s="3"/>
      <c r="L15" s="3"/>
      <c r="M15" s="44"/>
      <c r="O15" s="150" t="s">
        <v>221</v>
      </c>
      <c r="P15" s="150"/>
      <c r="Q15" s="150"/>
      <c r="R15" s="180" t="s">
        <v>229</v>
      </c>
      <c r="S15" s="180" t="s">
        <v>230</v>
      </c>
      <c r="T15" s="180" t="s">
        <v>217</v>
      </c>
      <c r="U15" s="180" t="s">
        <v>218</v>
      </c>
      <c r="V15" s="180" t="s">
        <v>219</v>
      </c>
      <c r="W15" s="150" t="s">
        <v>221</v>
      </c>
      <c r="X15" s="150"/>
      <c r="Y15" s="150"/>
      <c r="Z15" s="180" t="s">
        <v>235</v>
      </c>
      <c r="AA15" s="180" t="s">
        <v>236</v>
      </c>
      <c r="AB15" s="180" t="s">
        <v>237</v>
      </c>
      <c r="AC15" s="180" t="s">
        <v>238</v>
      </c>
      <c r="AD15" s="180" t="s">
        <v>234</v>
      </c>
      <c r="AF15" s="180" t="str">
        <f>IF($C$7="On-Off","Operation Hours","(Use^3)*Hrs")</f>
        <v>Operation Hours</v>
      </c>
    </row>
    <row r="16" spans="1:57" ht="15" customHeight="1" x14ac:dyDescent="0.25">
      <c r="A16" s="6" t="s">
        <v>169</v>
      </c>
      <c r="B16" s="6"/>
      <c r="C16" s="6"/>
      <c r="D16" s="6"/>
      <c r="E16" s="6"/>
      <c r="F16" s="44"/>
      <c r="G16" s="174" t="s">
        <v>257</v>
      </c>
      <c r="H16" s="90" t="s">
        <v>340</v>
      </c>
      <c r="I16" s="102" t="s">
        <v>338</v>
      </c>
      <c r="J16" s="103">
        <f ca="1">J13*C13</f>
        <v>8481.9812362265893</v>
      </c>
      <c r="K16" s="104" t="s">
        <v>242</v>
      </c>
      <c r="L16" s="7" t="s">
        <v>280</v>
      </c>
      <c r="M16" s="44"/>
      <c r="N16" s="41" t="s">
        <v>345</v>
      </c>
      <c r="O16" s="61" t="s">
        <v>214</v>
      </c>
      <c r="P16" s="61" t="s">
        <v>215</v>
      </c>
      <c r="Q16" s="61" t="s">
        <v>216</v>
      </c>
      <c r="R16" s="181"/>
      <c r="S16" s="181"/>
      <c r="T16" s="181"/>
      <c r="U16" s="181"/>
      <c r="V16" s="181"/>
      <c r="W16" s="61" t="s">
        <v>214</v>
      </c>
      <c r="X16" s="61" t="s">
        <v>215</v>
      </c>
      <c r="Y16" s="61" t="s">
        <v>216</v>
      </c>
      <c r="Z16" s="181"/>
      <c r="AA16" s="181"/>
      <c r="AB16" s="181"/>
      <c r="AC16" s="181"/>
      <c r="AD16" s="181"/>
      <c r="AF16" s="181"/>
    </row>
    <row r="17" spans="1:43" ht="15" customHeight="1" x14ac:dyDescent="0.2">
      <c r="A17" s="42" t="s">
        <v>164</v>
      </c>
      <c r="B17" s="54" t="s">
        <v>197</v>
      </c>
      <c r="C17" s="56">
        <v>100</v>
      </c>
      <c r="D17" s="58" t="s">
        <v>193</v>
      </c>
      <c r="E17" s="7" t="s">
        <v>159</v>
      </c>
      <c r="F17" s="44"/>
      <c r="G17" s="174"/>
      <c r="H17" s="90" t="s">
        <v>33</v>
      </c>
      <c r="I17" s="102" t="s">
        <v>243</v>
      </c>
      <c r="J17" s="103">
        <v>100</v>
      </c>
      <c r="K17" s="104"/>
      <c r="L17" s="7" t="s">
        <v>306</v>
      </c>
      <c r="M17" s="44"/>
      <c r="O17" s="77" t="s">
        <v>300</v>
      </c>
      <c r="P17" s="77" t="s">
        <v>299</v>
      </c>
      <c r="Q17" s="77" t="s">
        <v>298</v>
      </c>
      <c r="R17" s="78" t="s">
        <v>352</v>
      </c>
      <c r="S17" s="78" t="s">
        <v>353</v>
      </c>
      <c r="T17" s="78" t="s">
        <v>354</v>
      </c>
      <c r="U17" s="78" t="s">
        <v>355</v>
      </c>
      <c r="V17" s="78" t="s">
        <v>356</v>
      </c>
      <c r="W17" s="77" t="s">
        <v>300</v>
      </c>
      <c r="X17" s="77" t="s">
        <v>299</v>
      </c>
      <c r="Y17" s="77" t="s">
        <v>298</v>
      </c>
      <c r="Z17" s="78" t="s">
        <v>284</v>
      </c>
      <c r="AA17" s="78" t="s">
        <v>285</v>
      </c>
      <c r="AB17" s="78" t="s">
        <v>286</v>
      </c>
      <c r="AC17" s="78" t="s">
        <v>287</v>
      </c>
      <c r="AD17" s="78" t="s">
        <v>288</v>
      </c>
      <c r="AF17" s="193"/>
    </row>
    <row r="18" spans="1:43" ht="15" customHeight="1" x14ac:dyDescent="0.25">
      <c r="A18" s="42" t="s">
        <v>165</v>
      </c>
      <c r="B18" s="54" t="s">
        <v>198</v>
      </c>
      <c r="C18" s="57">
        <f ca="1">VLOOKUP(C5,'P-T Table'!$J$5:$M$11,3,FALSE)</f>
        <v>63.463414634146346</v>
      </c>
      <c r="D18" s="55" t="s">
        <v>190</v>
      </c>
      <c r="E18" s="7" t="s">
        <v>158</v>
      </c>
      <c r="F18" s="44"/>
      <c r="G18" s="174"/>
      <c r="H18" s="90" t="s">
        <v>342</v>
      </c>
      <c r="I18" s="102" t="s">
        <v>245</v>
      </c>
      <c r="J18" s="105">
        <f ca="1">J17/J16</f>
        <v>1.1789698328133461E-2</v>
      </c>
      <c r="K18" s="104" t="s">
        <v>246</v>
      </c>
      <c r="L18" s="7" t="s">
        <v>339</v>
      </c>
      <c r="M18" s="44"/>
      <c r="N18" s="41" t="s">
        <v>346</v>
      </c>
      <c r="O18" s="75" t="s">
        <v>224</v>
      </c>
      <c r="P18" s="75" t="s">
        <v>224</v>
      </c>
      <c r="Q18" s="75" t="s">
        <v>227</v>
      </c>
      <c r="R18" s="75" t="s">
        <v>224</v>
      </c>
      <c r="S18" s="75" t="s">
        <v>224</v>
      </c>
      <c r="T18" s="75" t="s">
        <v>225</v>
      </c>
      <c r="U18" s="75"/>
      <c r="V18" s="75" t="s">
        <v>226</v>
      </c>
      <c r="W18" s="75" t="s">
        <v>224</v>
      </c>
      <c r="X18" s="75" t="s">
        <v>224</v>
      </c>
      <c r="Y18" s="75" t="s">
        <v>227</v>
      </c>
      <c r="Z18" s="75"/>
      <c r="AA18" s="75"/>
      <c r="AB18" s="75" t="s">
        <v>226</v>
      </c>
      <c r="AC18" s="75" t="s">
        <v>226</v>
      </c>
      <c r="AD18" s="75" t="s">
        <v>226</v>
      </c>
      <c r="AF18" s="75"/>
    </row>
    <row r="19" spans="1:43" ht="15" customHeight="1" x14ac:dyDescent="0.2">
      <c r="A19" s="6" t="s">
        <v>262</v>
      </c>
      <c r="B19" s="6"/>
      <c r="C19" s="6"/>
      <c r="D19" s="6"/>
      <c r="E19" s="6"/>
      <c r="F19" s="44"/>
      <c r="G19" s="175" t="s">
        <v>313</v>
      </c>
      <c r="H19" s="44"/>
      <c r="I19" s="44"/>
      <c r="J19" s="44"/>
      <c r="K19" s="44"/>
      <c r="L19" s="44"/>
      <c r="M19" s="44"/>
      <c r="O19" s="69">
        <v>112</v>
      </c>
      <c r="P19" s="69">
        <v>73</v>
      </c>
      <c r="Q19" s="70">
        <v>0</v>
      </c>
      <c r="R19" s="92">
        <f t="shared" ref="R19:R43" ca="1" si="3">IF($C$6="Evaporative", MAX(P19+$C$34, $C$11), MAX( O19+$C$34, $C$11))</f>
        <v>94.035294117647069</v>
      </c>
      <c r="S19" s="92">
        <f ca="1">IF($C$6="Evaporative", MAX(P19+$C$21, $C$18), MAX(O19+$C$21, $C$18))</f>
        <v>88</v>
      </c>
      <c r="T19" s="93">
        <f ca="1">(R19-S19)*Q19</f>
        <v>0</v>
      </c>
      <c r="U19" s="111">
        <f ca="1">T19*$C$24*(1/8760)</f>
        <v>0</v>
      </c>
      <c r="V19" s="95">
        <f ca="1">U19*$V$12</f>
        <v>0</v>
      </c>
      <c r="W19" s="92">
        <f>O19</f>
        <v>112</v>
      </c>
      <c r="X19" s="92">
        <f t="shared" ref="X19:Y34" si="4">P19</f>
        <v>73</v>
      </c>
      <c r="Y19" s="93">
        <f t="shared" si="4"/>
        <v>0</v>
      </c>
      <c r="Z19" s="94">
        <f ca="1">IF($C$6="Evaporative",IF($C$11-X19&lt;=$C$34,1,IF($C$11&lt;=X19,1,$C$34/($C$11-X19))),IF($C$11-W19&lt;=$C$34,1,IF($C$11&lt;=W19,1,$C$34/($C$11-W19))))</f>
        <v>1</v>
      </c>
      <c r="AA19" s="94">
        <f ca="1">IF($C$6="Evaporative",IF($C$18-X19&lt;=$C$34,1,IF($C$18&lt;=X19,1,$C$34/($C$18-X19))),IF($C$18-W19&lt;=$C$34,1,IF($C$18&lt;=W19,1,$C$34/($C$18-W19))))</f>
        <v>1</v>
      </c>
      <c r="AB19" s="93">
        <f ca="1">IF($C$7="On-Off", $AC$12*$C$8*Z19*Y19/$Y$44, $AC$12*$C$8*Z19^3/$C$22*Y19/$Y$44)</f>
        <v>0</v>
      </c>
      <c r="AC19" s="97">
        <f ca="1">IF($C$20="On-Off", $AC$12*$C$8*AA19*Y19/$Y$44, $AC$12*$C$8*AA19^3/$C$22*Y19/$Y$44)</f>
        <v>0</v>
      </c>
      <c r="AD19" s="95">
        <f ca="1">AB19-AC19</f>
        <v>0</v>
      </c>
      <c r="AF19" s="99">
        <f ca="1">IF($C$7="On-Off",(Z19*Y19),(Z19^3)*Y19)</f>
        <v>0</v>
      </c>
      <c r="AL19" s="130"/>
      <c r="AM19" s="130"/>
      <c r="AN19" s="130"/>
      <c r="AQ19" s="127"/>
    </row>
    <row r="20" spans="1:43" ht="15" customHeight="1" x14ac:dyDescent="0.2">
      <c r="A20" s="96" t="s">
        <v>239</v>
      </c>
      <c r="B20" s="54"/>
      <c r="C20" s="186" t="s">
        <v>272</v>
      </c>
      <c r="D20" s="186"/>
      <c r="E20" s="7"/>
      <c r="F20" s="44"/>
      <c r="G20" s="175"/>
      <c r="H20" s="3" t="s">
        <v>256</v>
      </c>
      <c r="I20" s="3"/>
      <c r="J20" s="3"/>
      <c r="K20" s="3"/>
      <c r="L20" s="3"/>
      <c r="M20" s="44"/>
      <c r="O20" s="69">
        <v>107</v>
      </c>
      <c r="P20" s="69">
        <v>72</v>
      </c>
      <c r="Q20" s="70">
        <v>0</v>
      </c>
      <c r="R20" s="71">
        <f t="shared" ca="1" si="3"/>
        <v>93.035294117647069</v>
      </c>
      <c r="S20" s="71">
        <f t="shared" ref="S20:S43" ca="1" si="5">IF($C$6="Evaporative", MAX(P20+$C$21, $C$18), MAX(O20+$C$21, $C$18))</f>
        <v>87</v>
      </c>
      <c r="T20" s="72">
        <f t="shared" ref="T20:T43" ca="1" si="6">(R20-S20)*Q20</f>
        <v>0</v>
      </c>
      <c r="U20" s="112">
        <f t="shared" ref="U20:U43" ca="1" si="7">T20*$C$24*(1/8760)</f>
        <v>0</v>
      </c>
      <c r="V20" s="66">
        <f t="shared" ref="V20:V43" ca="1" si="8">U20*$V$12</f>
        <v>0</v>
      </c>
      <c r="W20" s="71">
        <f t="shared" ref="W20:W43" si="9">O20</f>
        <v>107</v>
      </c>
      <c r="X20" s="71">
        <f t="shared" si="4"/>
        <v>72</v>
      </c>
      <c r="Y20" s="72">
        <f t="shared" si="4"/>
        <v>0</v>
      </c>
      <c r="Z20" s="73">
        <f t="shared" ref="Z20:Z43" ca="1" si="10">IF($C$6="Evaporative",IF($C$11-X20&lt;=$C$34,1,IF($C$11&lt;=X20,1,$C$34/($C$11-X20))),IF($C$11-W20&lt;=$C$34,1,IF($C$11&lt;=W20,1,$C$34/($C$11-W20))))</f>
        <v>1</v>
      </c>
      <c r="AA20" s="73">
        <f t="shared" ref="AA20:AA43" ca="1" si="11">IF($C$6="Evaporative",IF($C$18-X20&lt;=$C$34,1,IF($C$18&lt;=X20,1,$C$34/($C$18-X20))),IF($C$18-W20&lt;=$C$34,1,IF($C$18&lt;=W20,1,$C$34/($C$18-W20))))</f>
        <v>1</v>
      </c>
      <c r="AB20" s="72">
        <f t="shared" ref="AB20:AB43" ca="1" si="12">IF($C$7="On-Off", $AC$12*$C$8*Z20*Y20/$Y$44, $AC$12*$C$8*Z20^3/$C$22*Y20/$Y$44)</f>
        <v>0</v>
      </c>
      <c r="AC20" s="98">
        <f t="shared" ref="AC20:AC43" ca="1" si="13">IF($C$20="On-Off", $AC$12*$C$8*AA20*Y20/$Y$44, $AC$12*$C$8*AA20^3/$C$22*Y20/$Y$44)</f>
        <v>0</v>
      </c>
      <c r="AD20" s="66">
        <f t="shared" ref="AD20:AD43" ca="1" si="14">AB20-AC20</f>
        <v>0</v>
      </c>
      <c r="AF20" s="129">
        <f t="shared" ref="AF20:AF43" ca="1" si="15">IF($C$7="On-Off",(Z20*Y20),(Z20^3)*Y20)</f>
        <v>0</v>
      </c>
      <c r="AL20" s="130"/>
      <c r="AM20" s="130"/>
      <c r="AN20" s="130"/>
      <c r="AQ20" s="127"/>
    </row>
    <row r="21" spans="1:43" ht="15" customHeight="1" x14ac:dyDescent="0.2">
      <c r="A21" s="42" t="s">
        <v>166</v>
      </c>
      <c r="B21" s="54" t="s">
        <v>199</v>
      </c>
      <c r="C21" s="56">
        <v>15</v>
      </c>
      <c r="D21" s="55" t="s">
        <v>190</v>
      </c>
      <c r="E21" s="7" t="s">
        <v>249</v>
      </c>
      <c r="F21" s="44"/>
      <c r="G21" s="175"/>
      <c r="H21" s="194" t="s">
        <v>307</v>
      </c>
      <c r="I21" s="194"/>
      <c r="J21" s="194"/>
      <c r="K21" s="194"/>
      <c r="L21" s="194"/>
      <c r="M21" s="44"/>
      <c r="O21" s="69">
        <v>102</v>
      </c>
      <c r="P21" s="69">
        <v>71</v>
      </c>
      <c r="Q21" s="70">
        <v>3</v>
      </c>
      <c r="R21" s="92">
        <f t="shared" ca="1" si="3"/>
        <v>92.035294117647069</v>
      </c>
      <c r="S21" s="92">
        <f t="shared" ca="1" si="5"/>
        <v>86</v>
      </c>
      <c r="T21" s="93">
        <f t="shared" ca="1" si="6"/>
        <v>18.105882352941208</v>
      </c>
      <c r="U21" s="111">
        <f t="shared" ca="1" si="7"/>
        <v>2.0668815471394071E-5</v>
      </c>
      <c r="V21" s="95">
        <f t="shared" ca="1" si="8"/>
        <v>24.871288235294163</v>
      </c>
      <c r="W21" s="92">
        <f t="shared" si="9"/>
        <v>102</v>
      </c>
      <c r="X21" s="92">
        <f t="shared" si="4"/>
        <v>71</v>
      </c>
      <c r="Y21" s="93">
        <f t="shared" si="4"/>
        <v>3</v>
      </c>
      <c r="Z21" s="94">
        <f t="shared" ca="1" si="10"/>
        <v>1</v>
      </c>
      <c r="AA21" s="94">
        <f t="shared" ca="1" si="11"/>
        <v>1</v>
      </c>
      <c r="AB21" s="93">
        <f t="shared" ca="1" si="12"/>
        <v>52.983947368421056</v>
      </c>
      <c r="AC21" s="97">
        <f t="shared" ca="1" si="13"/>
        <v>54.622626153011403</v>
      </c>
      <c r="AD21" s="95">
        <f t="shared" ca="1" si="14"/>
        <v>-1.638678784590347</v>
      </c>
      <c r="AF21" s="99">
        <f t="shared" ca="1" si="15"/>
        <v>3</v>
      </c>
      <c r="AL21" s="130"/>
      <c r="AM21" s="130"/>
      <c r="AN21" s="130"/>
      <c r="AQ21" s="127"/>
    </row>
    <row r="22" spans="1:43" ht="15" customHeight="1" x14ac:dyDescent="0.2">
      <c r="A22" s="42" t="s">
        <v>247</v>
      </c>
      <c r="B22" s="54" t="s">
        <v>301</v>
      </c>
      <c r="C22" s="60">
        <v>0.97</v>
      </c>
      <c r="D22" s="44"/>
      <c r="E22" s="7" t="s">
        <v>248</v>
      </c>
      <c r="F22" s="44"/>
      <c r="G22" s="175"/>
      <c r="H22" s="195"/>
      <c r="I22" s="195"/>
      <c r="J22" s="195"/>
      <c r="K22" s="195"/>
      <c r="L22" s="195"/>
      <c r="M22" s="44"/>
      <c r="O22" s="69">
        <v>97</v>
      </c>
      <c r="P22" s="69">
        <v>69</v>
      </c>
      <c r="Q22" s="70">
        <v>12</v>
      </c>
      <c r="R22" s="71">
        <f t="shared" ca="1" si="3"/>
        <v>90.035294117647069</v>
      </c>
      <c r="S22" s="71">
        <f t="shared" ca="1" si="5"/>
        <v>84</v>
      </c>
      <c r="T22" s="72">
        <f t="shared" ca="1" si="6"/>
        <v>72.423529411764832</v>
      </c>
      <c r="U22" s="112">
        <f t="shared" ca="1" si="7"/>
        <v>8.2675261885576285E-5</v>
      </c>
      <c r="V22" s="66">
        <f t="shared" ca="1" si="8"/>
        <v>99.485152941176651</v>
      </c>
      <c r="W22" s="71">
        <f t="shared" si="9"/>
        <v>97</v>
      </c>
      <c r="X22" s="71">
        <f t="shared" si="4"/>
        <v>69</v>
      </c>
      <c r="Y22" s="72">
        <f t="shared" si="4"/>
        <v>12</v>
      </c>
      <c r="Z22" s="73">
        <f t="shared" ca="1" si="10"/>
        <v>1</v>
      </c>
      <c r="AA22" s="73">
        <f t="shared" ca="1" si="11"/>
        <v>1</v>
      </c>
      <c r="AB22" s="72">
        <f t="shared" ca="1" si="12"/>
        <v>211.93578947368422</v>
      </c>
      <c r="AC22" s="98">
        <f t="shared" ca="1" si="13"/>
        <v>218.49050461204561</v>
      </c>
      <c r="AD22" s="66">
        <f ca="1">AB22-AC22</f>
        <v>-6.554715138361388</v>
      </c>
      <c r="AF22" s="129">
        <f t="shared" ca="1" si="15"/>
        <v>12</v>
      </c>
      <c r="AL22" s="130"/>
      <c r="AM22" s="130"/>
      <c r="AN22" s="130"/>
      <c r="AQ22" s="127"/>
    </row>
    <row r="23" spans="1:43" ht="15" customHeight="1" x14ac:dyDescent="0.2">
      <c r="A23" s="6" t="s">
        <v>219</v>
      </c>
      <c r="B23" s="6"/>
      <c r="C23" s="6"/>
      <c r="D23" s="6"/>
      <c r="E23" s="6"/>
      <c r="G23" s="175" t="s">
        <v>283</v>
      </c>
      <c r="H23" s="195" t="s">
        <v>337</v>
      </c>
      <c r="I23" s="195"/>
      <c r="J23" s="195"/>
      <c r="K23" s="195"/>
      <c r="L23" s="195"/>
      <c r="M23" s="44"/>
      <c r="O23" s="69">
        <v>92</v>
      </c>
      <c r="P23" s="69">
        <v>68</v>
      </c>
      <c r="Q23" s="70">
        <v>41</v>
      </c>
      <c r="R23" s="92">
        <f t="shared" ca="1" si="3"/>
        <v>89.035294117647069</v>
      </c>
      <c r="S23" s="92">
        <f t="shared" ca="1" si="5"/>
        <v>83</v>
      </c>
      <c r="T23" s="93">
        <f t="shared" ca="1" si="6"/>
        <v>247.44705882352986</v>
      </c>
      <c r="U23" s="111">
        <f t="shared" ca="1" si="7"/>
        <v>2.8247381144238566E-4</v>
      </c>
      <c r="V23" s="95">
        <f t="shared" ca="1" si="8"/>
        <v>339.90760588235361</v>
      </c>
      <c r="W23" s="92">
        <f t="shared" si="9"/>
        <v>92</v>
      </c>
      <c r="X23" s="92">
        <f t="shared" si="4"/>
        <v>68</v>
      </c>
      <c r="Y23" s="93">
        <f t="shared" si="4"/>
        <v>41</v>
      </c>
      <c r="Z23" s="94">
        <f t="shared" ca="1" si="10"/>
        <v>1</v>
      </c>
      <c r="AA23" s="94">
        <f t="shared" ca="1" si="11"/>
        <v>1</v>
      </c>
      <c r="AB23" s="93">
        <f ca="1">IF($C$7="On-Off", $AC$12*$C$8*Z23*Y23/$Y$44, $AC$12*$C$8*Z23^3/$C$22*Y23/$Y$44)</f>
        <v>724.11394736842124</v>
      </c>
      <c r="AC23" s="97">
        <f t="shared" ca="1" si="13"/>
        <v>746.50922409115583</v>
      </c>
      <c r="AD23" s="95">
        <f t="shared" ca="1" si="14"/>
        <v>-22.395276722734593</v>
      </c>
      <c r="AF23" s="99">
        <f t="shared" ca="1" si="15"/>
        <v>41</v>
      </c>
      <c r="AL23" s="130"/>
      <c r="AM23" s="130"/>
      <c r="AN23" s="130"/>
      <c r="AQ23" s="127"/>
    </row>
    <row r="24" spans="1:43" ht="15" customHeight="1" x14ac:dyDescent="0.25">
      <c r="A24" s="96" t="s">
        <v>292</v>
      </c>
      <c r="B24" s="54" t="s">
        <v>324</v>
      </c>
      <c r="C24" s="60">
        <v>0.01</v>
      </c>
      <c r="D24" s="41" t="s">
        <v>293</v>
      </c>
      <c r="E24" s="7" t="s">
        <v>244</v>
      </c>
      <c r="F24" s="44"/>
      <c r="G24" s="175"/>
      <c r="H24" s="195"/>
      <c r="I24" s="195"/>
      <c r="J24" s="195"/>
      <c r="K24" s="195"/>
      <c r="L24" s="195"/>
      <c r="M24" s="44"/>
      <c r="N24" s="41" t="s">
        <v>347</v>
      </c>
      <c r="O24" s="69">
        <v>87</v>
      </c>
      <c r="P24" s="69">
        <v>66</v>
      </c>
      <c r="Q24" s="70">
        <v>85</v>
      </c>
      <c r="R24" s="71">
        <f t="shared" ca="1" si="3"/>
        <v>87.035294117647069</v>
      </c>
      <c r="S24" s="71">
        <f t="shared" ca="1" si="5"/>
        <v>81</v>
      </c>
      <c r="T24" s="72">
        <f t="shared" ca="1" si="6"/>
        <v>513.00000000000091</v>
      </c>
      <c r="U24" s="112">
        <f t="shared" ca="1" si="7"/>
        <v>5.8561643835616534E-4</v>
      </c>
      <c r="V24" s="66">
        <f t="shared" ca="1" si="8"/>
        <v>704.68650000000127</v>
      </c>
      <c r="W24" s="71">
        <f t="shared" si="9"/>
        <v>87</v>
      </c>
      <c r="X24" s="71">
        <f t="shared" si="4"/>
        <v>66</v>
      </c>
      <c r="Y24" s="72">
        <f t="shared" si="4"/>
        <v>85</v>
      </c>
      <c r="Z24" s="73">
        <f t="shared" ca="1" si="10"/>
        <v>1</v>
      </c>
      <c r="AA24" s="73">
        <f t="shared" ca="1" si="11"/>
        <v>1</v>
      </c>
      <c r="AB24" s="72">
        <f t="shared" ca="1" si="12"/>
        <v>1501.2118421052633</v>
      </c>
      <c r="AC24" s="98">
        <f t="shared" ca="1" si="13"/>
        <v>1547.6410743353231</v>
      </c>
      <c r="AD24" s="66">
        <f t="shared" ca="1" si="14"/>
        <v>-46.429232230059824</v>
      </c>
      <c r="AF24" s="129">
        <f t="shared" ca="1" si="15"/>
        <v>85</v>
      </c>
      <c r="AL24" s="130"/>
      <c r="AM24" s="130"/>
      <c r="AN24" s="130"/>
      <c r="AQ24" s="127"/>
    </row>
    <row r="25" spans="1:43" ht="15" customHeight="1" x14ac:dyDescent="0.2">
      <c r="F25" s="44"/>
      <c r="G25" s="175"/>
      <c r="H25" s="195"/>
      <c r="I25" s="195"/>
      <c r="J25" s="195"/>
      <c r="K25" s="195"/>
      <c r="L25" s="195"/>
      <c r="M25" s="44"/>
      <c r="O25" s="69">
        <v>82</v>
      </c>
      <c r="P25" s="69">
        <v>64</v>
      </c>
      <c r="Q25" s="70">
        <v>161</v>
      </c>
      <c r="R25" s="92">
        <f t="shared" ca="1" si="3"/>
        <v>85.035294117647069</v>
      </c>
      <c r="S25" s="92">
        <f t="shared" ca="1" si="5"/>
        <v>79</v>
      </c>
      <c r="T25" s="93">
        <f t="shared" ca="1" si="6"/>
        <v>971.68235294117812</v>
      </c>
      <c r="U25" s="111">
        <f t="shared" ca="1" si="7"/>
        <v>1.1092264302981485E-3</v>
      </c>
      <c r="V25" s="95">
        <f t="shared" ca="1" si="8"/>
        <v>1334.7591352941201</v>
      </c>
      <c r="W25" s="92">
        <f t="shared" si="9"/>
        <v>82</v>
      </c>
      <c r="X25" s="92">
        <f t="shared" si="4"/>
        <v>64</v>
      </c>
      <c r="Y25" s="93">
        <f t="shared" si="4"/>
        <v>161</v>
      </c>
      <c r="Z25" s="94">
        <f t="shared" ca="1" si="10"/>
        <v>1</v>
      </c>
      <c r="AA25" s="94">
        <f t="shared" ca="1" si="11"/>
        <v>1</v>
      </c>
      <c r="AB25" s="93">
        <f t="shared" ca="1" si="12"/>
        <v>2843.4718421052635</v>
      </c>
      <c r="AC25" s="97">
        <f t="shared" ca="1" si="13"/>
        <v>2931.4142702116119</v>
      </c>
      <c r="AD25" s="95">
        <f t="shared" ca="1" si="14"/>
        <v>-87.942428106348416</v>
      </c>
      <c r="AF25" s="99">
        <f t="shared" ca="1" si="15"/>
        <v>161</v>
      </c>
      <c r="AL25" s="130"/>
      <c r="AM25" s="130"/>
      <c r="AN25" s="130"/>
      <c r="AQ25" s="127"/>
    </row>
    <row r="26" spans="1:43" ht="15" customHeight="1" x14ac:dyDescent="0.25">
      <c r="A26" s="3" t="s">
        <v>267</v>
      </c>
      <c r="B26" s="3"/>
      <c r="C26" s="3"/>
      <c r="D26" s="3"/>
      <c r="E26" s="3"/>
      <c r="F26" s="44"/>
      <c r="G26" s="175" t="s">
        <v>310</v>
      </c>
      <c r="H26" s="195"/>
      <c r="I26" s="195"/>
      <c r="J26" s="195"/>
      <c r="K26" s="195"/>
      <c r="L26" s="195"/>
      <c r="M26" s="44"/>
      <c r="N26" s="41" t="s">
        <v>348</v>
      </c>
      <c r="O26" s="69">
        <v>77</v>
      </c>
      <c r="P26" s="69">
        <v>62</v>
      </c>
      <c r="Q26" s="70">
        <v>249</v>
      </c>
      <c r="R26" s="71">
        <f t="shared" ca="1" si="3"/>
        <v>84.327272727272714</v>
      </c>
      <c r="S26" s="71">
        <f t="shared" ca="1" si="5"/>
        <v>77</v>
      </c>
      <c r="T26" s="72">
        <f t="shared" ca="1" si="6"/>
        <v>1824.4909090909057</v>
      </c>
      <c r="U26" s="112">
        <f t="shared" ca="1" si="7"/>
        <v>2.0827521793275179E-3</v>
      </c>
      <c r="V26" s="66">
        <f t="shared" ca="1" si="8"/>
        <v>2506.2263411483214</v>
      </c>
      <c r="W26" s="71">
        <f t="shared" si="9"/>
        <v>77</v>
      </c>
      <c r="X26" s="71">
        <f t="shared" si="4"/>
        <v>62</v>
      </c>
      <c r="Y26" s="72">
        <f>Q26</f>
        <v>249</v>
      </c>
      <c r="Z26" s="73">
        <f t="shared" ca="1" si="10"/>
        <v>0.94213450852653868</v>
      </c>
      <c r="AA26" s="73">
        <f t="shared" ca="1" si="11"/>
        <v>1</v>
      </c>
      <c r="AB26" s="72">
        <f t="shared" ca="1" si="12"/>
        <v>4143.1944327407</v>
      </c>
      <c r="AC26" s="98">
        <f t="shared" ca="1" si="13"/>
        <v>4533.6779706999459</v>
      </c>
      <c r="AD26" s="66">
        <f t="shared" ca="1" si="14"/>
        <v>-390.48353795924595</v>
      </c>
      <c r="AF26" s="129">
        <f t="shared" ca="1" si="15"/>
        <v>234.59149262310814</v>
      </c>
      <c r="AL26" s="130"/>
      <c r="AM26" s="130"/>
      <c r="AN26" s="130"/>
      <c r="AQ26" s="127"/>
    </row>
    <row r="27" spans="1:43" ht="15" customHeight="1" x14ac:dyDescent="0.2">
      <c r="A27" s="6" t="s">
        <v>303</v>
      </c>
      <c r="B27" s="6"/>
      <c r="C27" s="6"/>
      <c r="D27" s="6"/>
      <c r="E27" s="6"/>
      <c r="F27" s="44"/>
      <c r="G27" s="175"/>
      <c r="H27" s="195"/>
      <c r="I27" s="195"/>
      <c r="J27" s="195"/>
      <c r="K27" s="195"/>
      <c r="L27" s="195"/>
      <c r="M27" s="44"/>
      <c r="N27" s="41"/>
      <c r="O27" s="69">
        <v>72</v>
      </c>
      <c r="P27" s="69">
        <v>60</v>
      </c>
      <c r="Q27" s="70">
        <v>365</v>
      </c>
      <c r="R27" s="92">
        <f t="shared" ca="1" si="3"/>
        <v>84.327272727272714</v>
      </c>
      <c r="S27" s="92">
        <f t="shared" ca="1" si="5"/>
        <v>75</v>
      </c>
      <c r="T27" s="93">
        <f t="shared" ca="1" si="6"/>
        <v>3404.4545454545405</v>
      </c>
      <c r="U27" s="111">
        <f t="shared" ca="1" si="7"/>
        <v>3.8863636363636309E-3</v>
      </c>
      <c r="V27" s="95">
        <f t="shared" ca="1" si="8"/>
        <v>4676.5558636363585</v>
      </c>
      <c r="W27" s="92">
        <f t="shared" si="9"/>
        <v>72</v>
      </c>
      <c r="X27" s="92">
        <f t="shared" si="4"/>
        <v>60</v>
      </c>
      <c r="Y27" s="93">
        <f>Q27</f>
        <v>365</v>
      </c>
      <c r="Z27" s="94">
        <f t="shared" ca="1" si="10"/>
        <v>0.86467950408863192</v>
      </c>
      <c r="AA27" s="94">
        <f t="shared" ca="1" si="11"/>
        <v>1</v>
      </c>
      <c r="AB27" s="93">
        <f t="shared" ca="1" si="12"/>
        <v>5574.0528891141139</v>
      </c>
      <c r="AC27" s="97">
        <f t="shared" ca="1" si="13"/>
        <v>6645.7528486163883</v>
      </c>
      <c r="AD27" s="95">
        <f t="shared" ca="1" si="14"/>
        <v>-1071.6999595022744</v>
      </c>
      <c r="AF27" s="99">
        <f t="shared" ca="1" si="15"/>
        <v>315.60801899235065</v>
      </c>
      <c r="AL27" s="130"/>
      <c r="AM27" s="130"/>
      <c r="AN27" s="130"/>
      <c r="AQ27" s="127"/>
    </row>
    <row r="28" spans="1:43" ht="15" customHeight="1" x14ac:dyDescent="0.2">
      <c r="A28" s="108" t="s">
        <v>164</v>
      </c>
      <c r="B28" s="54" t="s">
        <v>311</v>
      </c>
      <c r="C28" s="56">
        <v>134</v>
      </c>
      <c r="D28" s="58" t="s">
        <v>193</v>
      </c>
      <c r="E28" s="7" t="s">
        <v>251</v>
      </c>
      <c r="G28" s="175"/>
      <c r="H28" s="142"/>
      <c r="I28" s="142"/>
      <c r="J28" s="142"/>
      <c r="K28" s="142"/>
      <c r="L28" s="142"/>
      <c r="M28" s="44"/>
      <c r="O28" s="69">
        <v>67</v>
      </c>
      <c r="P28" s="69">
        <v>58</v>
      </c>
      <c r="Q28" s="70">
        <v>509</v>
      </c>
      <c r="R28" s="71">
        <f t="shared" ca="1" si="3"/>
        <v>84.327272727272714</v>
      </c>
      <c r="S28" s="71">
        <f t="shared" ca="1" si="5"/>
        <v>73</v>
      </c>
      <c r="T28" s="72">
        <f t="shared" ca="1" si="6"/>
        <v>5765.5818181818113</v>
      </c>
      <c r="U28" s="112">
        <f t="shared" ca="1" si="7"/>
        <v>6.581714404317136E-3</v>
      </c>
      <c r="V28" s="66">
        <f t="shared" ca="1" si="8"/>
        <v>7919.9369822966428</v>
      </c>
      <c r="W28" s="71">
        <f t="shared" si="9"/>
        <v>67</v>
      </c>
      <c r="X28" s="71">
        <f t="shared" si="4"/>
        <v>58</v>
      </c>
      <c r="Y28" s="72">
        <f t="shared" si="4"/>
        <v>509</v>
      </c>
      <c r="Z28" s="73">
        <f t="shared" ca="1" si="10"/>
        <v>0.79899252518687114</v>
      </c>
      <c r="AA28" s="73">
        <f t="shared" ca="1" si="11"/>
        <v>1</v>
      </c>
      <c r="AB28" s="72">
        <f t="shared" ca="1" si="12"/>
        <v>7182.6309840839585</v>
      </c>
      <c r="AC28" s="98">
        <f t="shared" ca="1" si="13"/>
        <v>9267.6389039609348</v>
      </c>
      <c r="AD28" s="66">
        <f t="shared" ca="1" si="14"/>
        <v>-2085.0079198769763</v>
      </c>
      <c r="AF28" s="129">
        <f t="shared" ca="1" si="15"/>
        <v>406.68719532011738</v>
      </c>
      <c r="AL28" s="130"/>
      <c r="AM28" s="130"/>
      <c r="AN28" s="130"/>
      <c r="AQ28" s="127"/>
    </row>
    <row r="29" spans="1:43" ht="15" customHeight="1" x14ac:dyDescent="0.25">
      <c r="A29" s="108" t="s">
        <v>304</v>
      </c>
      <c r="B29" s="54" t="s">
        <v>312</v>
      </c>
      <c r="C29" s="57">
        <f ca="1">VLOOKUP(C5,'P-T Table'!$J$5:$M$11,4,FALSE)</f>
        <v>78.235294117647072</v>
      </c>
      <c r="D29" s="55" t="s">
        <v>190</v>
      </c>
      <c r="E29" s="7" t="s">
        <v>158</v>
      </c>
      <c r="G29" s="175"/>
      <c r="H29" s="3" t="s">
        <v>259</v>
      </c>
      <c r="I29" s="3"/>
      <c r="J29" s="3"/>
      <c r="K29" s="3"/>
      <c r="L29" s="3"/>
      <c r="M29" s="44"/>
      <c r="N29" s="41" t="s">
        <v>349</v>
      </c>
      <c r="O29" s="69">
        <v>62</v>
      </c>
      <c r="P29" s="69">
        <v>56</v>
      </c>
      <c r="Q29" s="70">
        <v>800</v>
      </c>
      <c r="R29" s="92">
        <f t="shared" ca="1" si="3"/>
        <v>84.327272727272714</v>
      </c>
      <c r="S29" s="92">
        <f t="shared" ca="1" si="5"/>
        <v>71</v>
      </c>
      <c r="T29" s="93">
        <f t="shared" ca="1" si="6"/>
        <v>10661.818181818171</v>
      </c>
      <c r="U29" s="111">
        <f t="shared" ca="1" si="7"/>
        <v>1.217102532171024E-2</v>
      </c>
      <c r="V29" s="95">
        <f t="shared" ca="1" si="8"/>
        <v>14645.690717703337</v>
      </c>
      <c r="W29" s="92">
        <f t="shared" si="9"/>
        <v>62</v>
      </c>
      <c r="X29" s="92">
        <f t="shared" si="4"/>
        <v>56</v>
      </c>
      <c r="Y29" s="93">
        <f t="shared" si="4"/>
        <v>800</v>
      </c>
      <c r="Z29" s="94">
        <f t="shared" ca="1" si="10"/>
        <v>0.74258098618137958</v>
      </c>
      <c r="AA29" s="94">
        <f t="shared" ca="1" si="11"/>
        <v>1</v>
      </c>
      <c r="AB29" s="93">
        <f t="shared" ca="1" si="12"/>
        <v>10491.965836966512</v>
      </c>
      <c r="AC29" s="97">
        <f t="shared" ca="1" si="13"/>
        <v>14566.033640803042</v>
      </c>
      <c r="AD29" s="95">
        <f t="shared" ca="1" si="14"/>
        <v>-4074.0678038365295</v>
      </c>
      <c r="AF29" s="99">
        <f t="shared" ca="1" si="15"/>
        <v>594.06478894510371</v>
      </c>
      <c r="AL29" s="130"/>
      <c r="AM29" s="130"/>
      <c r="AN29" s="130"/>
      <c r="AQ29" s="127"/>
    </row>
    <row r="30" spans="1:43" ht="15" customHeight="1" x14ac:dyDescent="0.2">
      <c r="A30" s="6" t="s">
        <v>263</v>
      </c>
      <c r="B30" s="6"/>
      <c r="C30" s="6"/>
      <c r="D30" s="6"/>
      <c r="E30" s="6"/>
      <c r="G30" s="175" t="s">
        <v>308</v>
      </c>
      <c r="H30" s="176" t="s">
        <v>294</v>
      </c>
      <c r="I30" s="176"/>
      <c r="J30" s="176"/>
      <c r="K30" s="176"/>
      <c r="L30" s="176"/>
      <c r="M30" s="44"/>
      <c r="O30" s="69">
        <v>57</v>
      </c>
      <c r="P30" s="69">
        <v>53</v>
      </c>
      <c r="Q30" s="70">
        <v>1110</v>
      </c>
      <c r="R30" s="71">
        <f t="shared" ca="1" si="3"/>
        <v>84.327272727272714</v>
      </c>
      <c r="S30" s="71">
        <f t="shared" ca="1" si="5"/>
        <v>68</v>
      </c>
      <c r="T30" s="72">
        <f ca="1">(R30-S30)*Q30</f>
        <v>18123.272727272713</v>
      </c>
      <c r="U30" s="112">
        <f ca="1">T30*$C$24*(1/8760)</f>
        <v>2.0688667496886661E-2</v>
      </c>
      <c r="V30" s="66">
        <f ca="1">U30*$V$12</f>
        <v>24895.17666028707</v>
      </c>
      <c r="W30" s="71">
        <f t="shared" si="9"/>
        <v>57</v>
      </c>
      <c r="X30" s="71">
        <f t="shared" si="4"/>
        <v>53</v>
      </c>
      <c r="Y30" s="72">
        <f t="shared" si="4"/>
        <v>1110</v>
      </c>
      <c r="Z30" s="73">
        <f t="shared" ca="1" si="10"/>
        <v>0.67146905192721373</v>
      </c>
      <c r="AA30" s="73">
        <f t="shared" ca="1" si="11"/>
        <v>1</v>
      </c>
      <c r="AB30" s="72">
        <f t="shared" ca="1" si="12"/>
        <v>13163.519935528981</v>
      </c>
      <c r="AC30" s="98">
        <f t="shared" ca="1" si="13"/>
        <v>20210.371676614221</v>
      </c>
      <c r="AD30" s="66">
        <f t="shared" ca="1" si="14"/>
        <v>-7046.8517410852401</v>
      </c>
      <c r="AF30" s="129">
        <f t="shared" ca="1" si="15"/>
        <v>745.3306476392072</v>
      </c>
      <c r="AL30" s="130"/>
      <c r="AM30" s="130"/>
      <c r="AN30" s="130"/>
      <c r="AQ30" s="127"/>
    </row>
    <row r="31" spans="1:43" ht="15" customHeight="1" x14ac:dyDescent="0.25">
      <c r="A31" s="96" t="s">
        <v>265</v>
      </c>
      <c r="B31" s="54" t="s">
        <v>270</v>
      </c>
      <c r="C31" s="56">
        <v>71.099999999999994</v>
      </c>
      <c r="D31" s="55" t="s">
        <v>190</v>
      </c>
      <c r="E31" s="7" t="s">
        <v>309</v>
      </c>
      <c r="G31" s="175"/>
      <c r="H31" s="177"/>
      <c r="I31" s="177"/>
      <c r="J31" s="177"/>
      <c r="K31" s="177"/>
      <c r="L31" s="177"/>
      <c r="N31" s="41" t="s">
        <v>289</v>
      </c>
      <c r="O31" s="69">
        <v>52</v>
      </c>
      <c r="P31" s="69">
        <v>49</v>
      </c>
      <c r="Q31" s="70">
        <v>1388</v>
      </c>
      <c r="R31" s="92">
        <f t="shared" ca="1" si="3"/>
        <v>84.327272727272714</v>
      </c>
      <c r="S31" s="92">
        <f t="shared" ca="1" si="5"/>
        <v>64</v>
      </c>
      <c r="T31" s="93">
        <f t="shared" ca="1" si="6"/>
        <v>28214.254545454525</v>
      </c>
      <c r="U31" s="111">
        <f t="shared" ca="1" si="7"/>
        <v>3.2208053134080511E-2</v>
      </c>
      <c r="V31" s="95">
        <f t="shared" ca="1" si="8"/>
        <v>38756.733500478455</v>
      </c>
      <c r="W31" s="92">
        <f t="shared" si="9"/>
        <v>52</v>
      </c>
      <c r="X31" s="92">
        <f t="shared" si="4"/>
        <v>49</v>
      </c>
      <c r="Y31" s="93">
        <f t="shared" si="4"/>
        <v>1388</v>
      </c>
      <c r="Z31" s="94">
        <f t="shared" ca="1" si="10"/>
        <v>0.59544064666525442</v>
      </c>
      <c r="AA31" s="94">
        <f t="shared" ca="1" si="11"/>
        <v>1</v>
      </c>
      <c r="AB31" s="93">
        <f t="shared" ca="1" si="12"/>
        <v>14596.57622896515</v>
      </c>
      <c r="AC31" s="97">
        <f t="shared" ca="1" si="13"/>
        <v>25272.068366793279</v>
      </c>
      <c r="AD31" s="95">
        <f t="shared" ca="1" si="14"/>
        <v>-10675.492137828129</v>
      </c>
      <c r="AF31" s="99">
        <f t="shared" ca="1" si="15"/>
        <v>826.47161757137314</v>
      </c>
      <c r="AL31" s="130"/>
      <c r="AM31" s="130"/>
      <c r="AN31" s="130"/>
      <c r="AQ31" s="127"/>
    </row>
    <row r="32" spans="1:43" ht="15" customHeight="1" x14ac:dyDescent="0.2">
      <c r="A32" s="96" t="s">
        <v>264</v>
      </c>
      <c r="B32" s="54" t="s">
        <v>271</v>
      </c>
      <c r="C32" s="56">
        <v>57.2</v>
      </c>
      <c r="D32" s="55" t="s">
        <v>190</v>
      </c>
      <c r="E32" s="7" t="s">
        <v>309</v>
      </c>
      <c r="G32" s="175"/>
      <c r="H32" s="177" t="s">
        <v>295</v>
      </c>
      <c r="I32" s="177"/>
      <c r="J32" s="177"/>
      <c r="K32" s="177"/>
      <c r="L32" s="177"/>
      <c r="N32" s="44"/>
      <c r="O32" s="69">
        <v>47</v>
      </c>
      <c r="P32" s="69">
        <v>45</v>
      </c>
      <c r="Q32" s="70">
        <v>1402</v>
      </c>
      <c r="R32" s="71">
        <f t="shared" ca="1" si="3"/>
        <v>84.327272727272714</v>
      </c>
      <c r="S32" s="71">
        <f t="shared" ca="1" si="5"/>
        <v>63.463414634146346</v>
      </c>
      <c r="T32" s="72">
        <f t="shared" ca="1" si="6"/>
        <v>29251.129046563168</v>
      </c>
      <c r="U32" s="112">
        <f t="shared" ca="1" si="7"/>
        <v>3.3391699824843801E-2</v>
      </c>
      <c r="V32" s="66">
        <f t="shared" ca="1" si="8"/>
        <v>40181.044344777663</v>
      </c>
      <c r="W32" s="71">
        <f t="shared" si="9"/>
        <v>47</v>
      </c>
      <c r="X32" s="71">
        <f t="shared" si="4"/>
        <v>45</v>
      </c>
      <c r="Y32" s="72">
        <f t="shared" si="4"/>
        <v>1402</v>
      </c>
      <c r="Z32" s="73">
        <f t="shared" ca="1" si="10"/>
        <v>0.53487802888145597</v>
      </c>
      <c r="AA32" s="73">
        <f t="shared" ca="1" si="11"/>
        <v>1</v>
      </c>
      <c r="AB32" s="72">
        <f t="shared" ca="1" si="12"/>
        <v>13244.202987251123</v>
      </c>
      <c r="AC32" s="98">
        <f t="shared" ca="1" si="13"/>
        <v>25526.973955507332</v>
      </c>
      <c r="AD32" s="66">
        <f t="shared" ca="1" si="14"/>
        <v>-12282.770968256209</v>
      </c>
      <c r="AF32" s="129">
        <f t="shared" ca="1" si="15"/>
        <v>749.89899649180131</v>
      </c>
      <c r="AL32" s="130"/>
      <c r="AM32" s="130"/>
      <c r="AN32" s="130"/>
      <c r="AQ32" s="127"/>
    </row>
    <row r="33" spans="1:43" ht="15" customHeight="1" x14ac:dyDescent="0.2">
      <c r="A33" s="6" t="s">
        <v>268</v>
      </c>
      <c r="B33" s="6"/>
      <c r="C33" s="6"/>
      <c r="D33" s="6"/>
      <c r="E33" s="6"/>
      <c r="H33" s="196" t="s">
        <v>302</v>
      </c>
      <c r="I33" s="196"/>
      <c r="J33" s="196"/>
      <c r="K33" s="196"/>
      <c r="L33" s="196"/>
      <c r="N33" s="44"/>
      <c r="O33" s="69">
        <v>42</v>
      </c>
      <c r="P33" s="69">
        <v>40</v>
      </c>
      <c r="Q33" s="70">
        <v>1179</v>
      </c>
      <c r="R33" s="92">
        <f t="shared" ca="1" si="3"/>
        <v>84.327272727272714</v>
      </c>
      <c r="S33" s="92">
        <f t="shared" ca="1" si="5"/>
        <v>63.463414634146346</v>
      </c>
      <c r="T33" s="93">
        <f t="shared" ca="1" si="6"/>
        <v>24598.488691795988</v>
      </c>
      <c r="U33" s="111">
        <f t="shared" ca="1" si="7"/>
        <v>2.8080466543146106E-2</v>
      </c>
      <c r="V33" s="95">
        <f t="shared" ca="1" si="8"/>
        <v>33789.908190080503</v>
      </c>
      <c r="W33" s="92">
        <f t="shared" si="9"/>
        <v>42</v>
      </c>
      <c r="X33" s="92">
        <f t="shared" si="4"/>
        <v>40</v>
      </c>
      <c r="Y33" s="93">
        <f t="shared" si="4"/>
        <v>1179</v>
      </c>
      <c r="Z33" s="94">
        <f t="shared" ca="1" si="10"/>
        <v>0.47454519133330153</v>
      </c>
      <c r="AA33" s="94">
        <f t="shared" ca="1" si="11"/>
        <v>0.89651461416167322</v>
      </c>
      <c r="AB33" s="93">
        <f t="shared" ca="1" si="12"/>
        <v>9881.308034525593</v>
      </c>
      <c r="AC33" s="97">
        <f t="shared" ca="1" si="13"/>
        <v>15468.109827917895</v>
      </c>
      <c r="AD33" s="95">
        <f t="shared" ca="1" si="14"/>
        <v>-5586.801793392302</v>
      </c>
      <c r="AF33" s="99">
        <f t="shared" ca="1" si="15"/>
        <v>559.48878058196249</v>
      </c>
      <c r="AL33" s="130"/>
      <c r="AM33" s="130"/>
      <c r="AN33" s="130"/>
      <c r="AQ33" s="127"/>
    </row>
    <row r="34" spans="1:43" ht="15" customHeight="1" x14ac:dyDescent="0.2">
      <c r="A34" s="42" t="s">
        <v>314</v>
      </c>
      <c r="B34" s="54" t="s">
        <v>196</v>
      </c>
      <c r="C34" s="57">
        <f ca="1">IF($C$6="Evaporative", C29-C32, C29-C31)</f>
        <v>21.035294117647069</v>
      </c>
      <c r="D34" s="55" t="s">
        <v>190</v>
      </c>
      <c r="E34" s="7" t="s">
        <v>156</v>
      </c>
      <c r="H34" s="196"/>
      <c r="I34" s="196"/>
      <c r="J34" s="196"/>
      <c r="K34" s="196"/>
      <c r="L34" s="196"/>
      <c r="N34" s="44"/>
      <c r="O34" s="69">
        <v>37</v>
      </c>
      <c r="P34" s="69">
        <v>36</v>
      </c>
      <c r="Q34" s="70">
        <v>747</v>
      </c>
      <c r="R34" s="71">
        <f t="shared" ca="1" si="3"/>
        <v>84.327272727272714</v>
      </c>
      <c r="S34" s="71">
        <f t="shared" ca="1" si="5"/>
        <v>63.463414634146346</v>
      </c>
      <c r="T34" s="72">
        <f t="shared" ca="1" si="6"/>
        <v>15585.301995565396</v>
      </c>
      <c r="U34" s="112">
        <f t="shared" ca="1" si="7"/>
        <v>1.7791440634207074E-2</v>
      </c>
      <c r="V34" s="66">
        <f t="shared" ca="1" si="8"/>
        <v>21408.873128066272</v>
      </c>
      <c r="W34" s="71">
        <f t="shared" si="9"/>
        <v>37</v>
      </c>
      <c r="X34" s="71">
        <f t="shared" si="4"/>
        <v>36</v>
      </c>
      <c r="Y34" s="72">
        <f t="shared" si="4"/>
        <v>747</v>
      </c>
      <c r="Z34" s="73">
        <f t="shared" ca="1" si="10"/>
        <v>0.43526756074890488</v>
      </c>
      <c r="AA34" s="73">
        <f t="shared" ca="1" si="11"/>
        <v>0.76593877337791272</v>
      </c>
      <c r="AB34" s="72">
        <f t="shared" ca="1" si="12"/>
        <v>5742.4861889453468</v>
      </c>
      <c r="AC34" s="98">
        <f t="shared" ca="1" si="13"/>
        <v>6111.5882648100014</v>
      </c>
      <c r="AD34" s="66">
        <f t="shared" ca="1" si="14"/>
        <v>-369.10207586465458</v>
      </c>
      <c r="AF34" s="129">
        <f t="shared" ca="1" si="15"/>
        <v>325.14486787943196</v>
      </c>
      <c r="AL34" s="130"/>
      <c r="AM34" s="130"/>
      <c r="AN34" s="130"/>
      <c r="AQ34" s="127"/>
    </row>
    <row r="35" spans="1:43" ht="15" customHeight="1" x14ac:dyDescent="0.2">
      <c r="F35" s="44"/>
      <c r="M35" s="44"/>
      <c r="N35" s="44"/>
      <c r="O35" s="69">
        <v>32</v>
      </c>
      <c r="P35" s="69">
        <v>31</v>
      </c>
      <c r="Q35" s="70">
        <v>445</v>
      </c>
      <c r="R35" s="92">
        <f t="shared" ca="1" si="3"/>
        <v>84.327272727272714</v>
      </c>
      <c r="S35" s="92">
        <f t="shared" ca="1" si="5"/>
        <v>63.463414634146346</v>
      </c>
      <c r="T35" s="93">
        <f ca="1">(R35-S35)*Q35</f>
        <v>9284.416851441234</v>
      </c>
      <c r="U35" s="111">
        <f t="shared" ca="1" si="7"/>
        <v>1.0598649373791364E-2</v>
      </c>
      <c r="V35" s="95">
        <f t="shared" ca="1" si="8"/>
        <v>12753.612506010029</v>
      </c>
      <c r="W35" s="92">
        <f t="shared" si="9"/>
        <v>32</v>
      </c>
      <c r="X35" s="92">
        <f t="shared" ref="X35:X43" si="16">P35</f>
        <v>31</v>
      </c>
      <c r="Y35" s="93">
        <f t="shared" ref="Y35:Y43" si="17">Q35</f>
        <v>445</v>
      </c>
      <c r="Z35" s="94">
        <f t="shared" ca="1" si="10"/>
        <v>0.39445658931830518</v>
      </c>
      <c r="AA35" s="94">
        <f t="shared" ca="1" si="11"/>
        <v>0.6479692402881515</v>
      </c>
      <c r="AB35" s="93">
        <f t="shared" ca="1" si="12"/>
        <v>3100.1469631892478</v>
      </c>
      <c r="AC35" s="97">
        <f t="shared" ca="1" si="13"/>
        <v>2204.3192972126712</v>
      </c>
      <c r="AD35" s="95">
        <f t="shared" ca="1" si="14"/>
        <v>895.82766597657655</v>
      </c>
      <c r="AF35" s="99">
        <f t="shared" ca="1" si="15"/>
        <v>175.53318224664579</v>
      </c>
      <c r="AL35" s="130"/>
      <c r="AM35" s="130"/>
      <c r="AN35" s="130"/>
      <c r="AQ35" s="127"/>
    </row>
    <row r="36" spans="1:43" ht="15" customHeight="1" x14ac:dyDescent="0.2">
      <c r="A36" s="3" t="s">
        <v>259</v>
      </c>
      <c r="B36" s="3"/>
      <c r="C36" s="3"/>
      <c r="D36" s="3"/>
      <c r="E36" s="3"/>
      <c r="F36" s="44"/>
      <c r="M36" s="44"/>
      <c r="O36" s="69">
        <v>27</v>
      </c>
      <c r="P36" s="69">
        <v>26</v>
      </c>
      <c r="Q36" s="70">
        <v>166</v>
      </c>
      <c r="R36" s="71">
        <f t="shared" ca="1" si="3"/>
        <v>84.327272727272714</v>
      </c>
      <c r="S36" s="71">
        <f t="shared" ca="1" si="5"/>
        <v>63.463414634146346</v>
      </c>
      <c r="T36" s="72">
        <f t="shared" ca="1" si="6"/>
        <v>3463.400443458977</v>
      </c>
      <c r="U36" s="112">
        <f t="shared" ca="1" si="7"/>
        <v>3.9536534742682381E-3</v>
      </c>
      <c r="V36" s="66">
        <f t="shared" ca="1" si="8"/>
        <v>4757.5273617925041</v>
      </c>
      <c r="W36" s="71">
        <f t="shared" si="9"/>
        <v>27</v>
      </c>
      <c r="X36" s="71">
        <f t="shared" si="16"/>
        <v>26</v>
      </c>
      <c r="Y36" s="72">
        <f t="shared" si="17"/>
        <v>166</v>
      </c>
      <c r="Z36" s="73">
        <f t="shared" ca="1" si="10"/>
        <v>0.36064251136863751</v>
      </c>
      <c r="AA36" s="73">
        <f t="shared" ca="1" si="11"/>
        <v>0.56148897058823555</v>
      </c>
      <c r="AB36" s="72">
        <f t="shared" ca="1" si="12"/>
        <v>1057.3239325448001</v>
      </c>
      <c r="AC36" s="98">
        <f t="shared" ca="1" si="13"/>
        <v>535.03611630320063</v>
      </c>
      <c r="AD36" s="66">
        <f t="shared" ca="1" si="14"/>
        <v>522.28781624159944</v>
      </c>
      <c r="AF36" s="129">
        <f t="shared" ca="1" si="15"/>
        <v>59.866656887193827</v>
      </c>
      <c r="AL36" s="130"/>
      <c r="AM36" s="130"/>
      <c r="AN36" s="130"/>
      <c r="AQ36" s="127"/>
    </row>
    <row r="37" spans="1:43" ht="15" customHeight="1" x14ac:dyDescent="0.25">
      <c r="A37" s="176" t="s">
        <v>260</v>
      </c>
      <c r="B37" s="176"/>
      <c r="C37" s="176"/>
      <c r="D37" s="176"/>
      <c r="E37" s="176"/>
      <c r="F37" s="44"/>
      <c r="M37" s="44"/>
      <c r="N37" s="41" t="s">
        <v>290</v>
      </c>
      <c r="O37" s="69">
        <v>22</v>
      </c>
      <c r="P37" s="69">
        <v>21</v>
      </c>
      <c r="Q37" s="70">
        <v>63</v>
      </c>
      <c r="R37" s="92">
        <f t="shared" ca="1" si="3"/>
        <v>84.327272727272714</v>
      </c>
      <c r="S37" s="92">
        <f t="shared" ca="1" si="5"/>
        <v>63.463414634146346</v>
      </c>
      <c r="T37" s="93">
        <f t="shared" ca="1" si="6"/>
        <v>1314.4230598669612</v>
      </c>
      <c r="U37" s="111">
        <f t="shared" ca="1" si="7"/>
        <v>1.5004829450536085E-3</v>
      </c>
      <c r="V37" s="95">
        <f t="shared" ca="1" si="8"/>
        <v>1805.5676132104084</v>
      </c>
      <c r="W37" s="92">
        <f t="shared" si="9"/>
        <v>22</v>
      </c>
      <c r="X37" s="92">
        <f t="shared" si="16"/>
        <v>21</v>
      </c>
      <c r="Y37" s="93">
        <f t="shared" si="17"/>
        <v>63</v>
      </c>
      <c r="Z37" s="94">
        <f t="shared" ca="1" si="10"/>
        <v>0.33216800932259233</v>
      </c>
      <c r="AA37" s="94">
        <f t="shared" ca="1" si="11"/>
        <v>0.49537453120248692</v>
      </c>
      <c r="AB37" s="93">
        <f t="shared" ca="1" si="12"/>
        <v>369.59101879185005</v>
      </c>
      <c r="AC37" s="97">
        <f t="shared" ca="1" si="13"/>
        <v>139.4417723449495</v>
      </c>
      <c r="AD37" s="95">
        <f t="shared" ca="1" si="14"/>
        <v>230.14924644690055</v>
      </c>
      <c r="AF37" s="99">
        <f t="shared" ca="1" si="15"/>
        <v>20.926584587323315</v>
      </c>
      <c r="AL37" s="130"/>
      <c r="AM37" s="130"/>
      <c r="AN37" s="130"/>
      <c r="AQ37" s="127"/>
    </row>
    <row r="38" spans="1:43" ht="15" customHeight="1" x14ac:dyDescent="0.2">
      <c r="A38" s="177"/>
      <c r="B38" s="177"/>
      <c r="C38" s="177"/>
      <c r="D38" s="177"/>
      <c r="E38" s="177"/>
      <c r="F38" s="44"/>
      <c r="M38" s="44"/>
      <c r="O38" s="69">
        <v>17</v>
      </c>
      <c r="P38" s="69">
        <v>16</v>
      </c>
      <c r="Q38" s="70">
        <v>24</v>
      </c>
      <c r="R38" s="71">
        <f t="shared" ca="1" si="3"/>
        <v>84.327272727272714</v>
      </c>
      <c r="S38" s="71">
        <f t="shared" ca="1" si="5"/>
        <v>63.463414634146346</v>
      </c>
      <c r="T38" s="72">
        <f t="shared" ca="1" si="6"/>
        <v>500.73259423503282</v>
      </c>
      <c r="U38" s="112">
        <f t="shared" ca="1" si="7"/>
        <v>5.716125504966128E-4</v>
      </c>
      <c r="V38" s="66">
        <f t="shared" ca="1" si="8"/>
        <v>687.83528122301277</v>
      </c>
      <c r="W38" s="71">
        <f t="shared" si="9"/>
        <v>17</v>
      </c>
      <c r="X38" s="71">
        <f t="shared" si="16"/>
        <v>16</v>
      </c>
      <c r="Y38" s="72">
        <f t="shared" si="17"/>
        <v>24</v>
      </c>
      <c r="Z38" s="73">
        <f t="shared" ca="1" si="10"/>
        <v>0.30786087718749044</v>
      </c>
      <c r="AA38" s="73">
        <f t="shared" ca="1" si="11"/>
        <v>0.44318964996070387</v>
      </c>
      <c r="AB38" s="72">
        <f t="shared" ca="1" si="12"/>
        <v>130.49347610958347</v>
      </c>
      <c r="AC38" s="98">
        <f t="shared" ca="1" si="13"/>
        <v>38.03920150790681</v>
      </c>
      <c r="AD38" s="66">
        <f t="shared" ca="1" si="14"/>
        <v>92.454274601676659</v>
      </c>
      <c r="AF38" s="129">
        <f t="shared" ca="1" si="15"/>
        <v>7.3886610524997707</v>
      </c>
      <c r="AL38" s="130"/>
      <c r="AM38" s="130"/>
      <c r="AN38" s="130"/>
      <c r="AQ38" s="127"/>
    </row>
    <row r="39" spans="1:43" ht="15" customHeight="1" x14ac:dyDescent="0.2">
      <c r="A39" s="177" t="s">
        <v>261</v>
      </c>
      <c r="B39" s="177"/>
      <c r="C39" s="177"/>
      <c r="D39" s="177"/>
      <c r="E39" s="177"/>
      <c r="F39" s="44"/>
      <c r="H39" s="44"/>
      <c r="I39" s="44"/>
      <c r="J39" s="132"/>
      <c r="K39" s="44"/>
      <c r="L39" s="44"/>
      <c r="M39" s="44"/>
      <c r="O39" s="69">
        <v>12</v>
      </c>
      <c r="P39" s="69">
        <v>11</v>
      </c>
      <c r="Q39" s="70">
        <v>8</v>
      </c>
      <c r="R39" s="92">
        <f t="shared" ca="1" si="3"/>
        <v>84.327272727272714</v>
      </c>
      <c r="S39" s="92">
        <f t="shared" ca="1" si="5"/>
        <v>63.463414634146346</v>
      </c>
      <c r="T39" s="93">
        <f t="shared" ca="1" si="6"/>
        <v>166.91086474501094</v>
      </c>
      <c r="U39" s="111">
        <f t="shared" ca="1" si="7"/>
        <v>1.9053751683220427E-4</v>
      </c>
      <c r="V39" s="95">
        <f t="shared" ca="1" si="8"/>
        <v>229.27842707433757</v>
      </c>
      <c r="W39" s="92">
        <f t="shared" si="9"/>
        <v>12</v>
      </c>
      <c r="X39" s="92">
        <f t="shared" si="16"/>
        <v>11</v>
      </c>
      <c r="Y39" s="93">
        <f t="shared" si="17"/>
        <v>8</v>
      </c>
      <c r="Z39" s="94">
        <f t="shared" ca="1" si="10"/>
        <v>0.28686862793716567</v>
      </c>
      <c r="AA39" s="94">
        <f t="shared" ca="1" si="11"/>
        <v>0.40095167774222679</v>
      </c>
      <c r="AB39" s="93">
        <f t="shared" ca="1" si="12"/>
        <v>40.531819424730536</v>
      </c>
      <c r="AC39" s="97">
        <f t="shared" ca="1" si="13"/>
        <v>9.3889583795268781</v>
      </c>
      <c r="AD39" s="95">
        <f t="shared" ca="1" si="14"/>
        <v>31.142861045203659</v>
      </c>
      <c r="AF39" s="99">
        <f t="shared" ca="1" si="15"/>
        <v>2.2949490234973253</v>
      </c>
      <c r="AL39" s="130"/>
      <c r="AM39" s="130"/>
      <c r="AN39" s="130"/>
      <c r="AQ39" s="127"/>
    </row>
    <row r="40" spans="1:43" ht="15" customHeight="1" x14ac:dyDescent="0.2">
      <c r="A40" s="177"/>
      <c r="B40" s="177"/>
      <c r="C40" s="177"/>
      <c r="D40" s="177"/>
      <c r="E40" s="177"/>
      <c r="F40" s="44"/>
      <c r="G40" s="136"/>
      <c r="H40" s="44"/>
      <c r="I40" s="44"/>
      <c r="J40" s="44"/>
      <c r="K40" s="44"/>
      <c r="L40" s="44"/>
      <c r="M40" s="44"/>
      <c r="O40" s="69">
        <v>7</v>
      </c>
      <c r="P40" s="69">
        <v>7</v>
      </c>
      <c r="Q40" s="70">
        <v>1</v>
      </c>
      <c r="R40" s="71">
        <f t="shared" ca="1" si="3"/>
        <v>84.327272727272714</v>
      </c>
      <c r="S40" s="71">
        <f t="shared" ca="1" si="5"/>
        <v>63.463414634146346</v>
      </c>
      <c r="T40" s="72">
        <f t="shared" ca="1" si="6"/>
        <v>20.863858093126368</v>
      </c>
      <c r="U40" s="112">
        <f t="shared" ca="1" si="7"/>
        <v>2.3817189604025533E-5</v>
      </c>
      <c r="V40" s="66">
        <f t="shared" ca="1" si="8"/>
        <v>28.659803384292196</v>
      </c>
      <c r="W40" s="71">
        <f t="shared" si="9"/>
        <v>7</v>
      </c>
      <c r="X40" s="71">
        <f t="shared" si="16"/>
        <v>7</v>
      </c>
      <c r="Y40" s="72">
        <f t="shared" si="17"/>
        <v>1</v>
      </c>
      <c r="Z40" s="73">
        <f t="shared" ca="1" si="10"/>
        <v>0.27202943251130707</v>
      </c>
      <c r="AA40" s="73">
        <f t="shared" ca="1" si="11"/>
        <v>0.3725473256257148</v>
      </c>
      <c r="AB40" s="72">
        <f t="shared" ca="1" si="12"/>
        <v>4.8043977116135146</v>
      </c>
      <c r="AC40" s="98">
        <f t="shared" ca="1" si="13"/>
        <v>0.9414465580380682</v>
      </c>
      <c r="AD40" s="66">
        <f t="shared" ca="1" si="14"/>
        <v>3.8629511535754464</v>
      </c>
      <c r="AF40" s="129">
        <f t="shared" ca="1" si="15"/>
        <v>0.27202943251130707</v>
      </c>
      <c r="AL40" s="130"/>
      <c r="AM40" s="130"/>
      <c r="AN40" s="130"/>
      <c r="AQ40" s="127"/>
    </row>
    <row r="41" spans="1:43" ht="15" customHeight="1" x14ac:dyDescent="0.2">
      <c r="A41" s="177"/>
      <c r="B41" s="177"/>
      <c r="C41" s="177"/>
      <c r="D41" s="177"/>
      <c r="E41" s="177"/>
      <c r="F41" s="44"/>
      <c r="I41" s="44"/>
      <c r="J41" s="44"/>
      <c r="K41" s="44"/>
      <c r="L41" s="44"/>
      <c r="M41" s="44"/>
      <c r="O41" s="69">
        <v>2</v>
      </c>
      <c r="P41" s="69">
        <v>2</v>
      </c>
      <c r="Q41" s="70">
        <v>1</v>
      </c>
      <c r="R41" s="92">
        <f t="shared" ca="1" si="3"/>
        <v>84.327272727272714</v>
      </c>
      <c r="S41" s="92">
        <f t="shared" ca="1" si="5"/>
        <v>63.463414634146346</v>
      </c>
      <c r="T41" s="93">
        <f t="shared" ca="1" si="6"/>
        <v>20.863858093126368</v>
      </c>
      <c r="U41" s="111">
        <f t="shared" ca="1" si="7"/>
        <v>2.3817189604025533E-5</v>
      </c>
      <c r="V41" s="95">
        <f t="shared" ca="1" si="8"/>
        <v>28.659803384292196</v>
      </c>
      <c r="W41" s="92">
        <f t="shared" si="9"/>
        <v>2</v>
      </c>
      <c r="X41" s="92">
        <f t="shared" si="16"/>
        <v>2</v>
      </c>
      <c r="Y41" s="93">
        <f t="shared" si="17"/>
        <v>1</v>
      </c>
      <c r="Z41" s="94">
        <f t="shared" ca="1" si="10"/>
        <v>0.25550821035127846</v>
      </c>
      <c r="AA41" s="94">
        <f t="shared" ca="1" si="11"/>
        <v>0.34224089635854354</v>
      </c>
      <c r="AB41" s="93">
        <f t="shared" ca="1" si="12"/>
        <v>4.512611189817199</v>
      </c>
      <c r="AC41" s="97">
        <f t="shared" ca="1" si="13"/>
        <v>0.7298725588310413</v>
      </c>
      <c r="AD41" s="95">
        <f t="shared" ca="1" si="14"/>
        <v>3.7827386309861577</v>
      </c>
      <c r="AF41" s="99">
        <f t="shared" ca="1" si="15"/>
        <v>0.25550821035127846</v>
      </c>
      <c r="AL41" s="130"/>
      <c r="AM41" s="130"/>
      <c r="AN41" s="130"/>
      <c r="AQ41" s="127"/>
    </row>
    <row r="42" spans="1:43" ht="15" customHeight="1" x14ac:dyDescent="0.2">
      <c r="A42" s="173" t="s">
        <v>315</v>
      </c>
      <c r="B42" s="173"/>
      <c r="C42" s="173"/>
      <c r="D42" s="173"/>
      <c r="E42" s="173"/>
      <c r="I42" s="44"/>
      <c r="J42" s="44"/>
      <c r="K42" s="44"/>
      <c r="L42" s="44"/>
      <c r="O42" s="69">
        <v>-3</v>
      </c>
      <c r="P42" s="69">
        <v>-2</v>
      </c>
      <c r="Q42" s="70">
        <v>1</v>
      </c>
      <c r="R42" s="71">
        <f t="shared" ca="1" si="3"/>
        <v>84.327272727272714</v>
      </c>
      <c r="S42" s="71">
        <f t="shared" ca="1" si="5"/>
        <v>63.463414634146346</v>
      </c>
      <c r="T42" s="72">
        <f t="shared" ca="1" si="6"/>
        <v>20.863858093126368</v>
      </c>
      <c r="U42" s="112">
        <f t="shared" ca="1" si="7"/>
        <v>2.3817189604025533E-5</v>
      </c>
      <c r="V42" s="66">
        <f t="shared" ca="1" si="8"/>
        <v>28.659803384292196</v>
      </c>
      <c r="W42" s="71">
        <f t="shared" si="9"/>
        <v>-3</v>
      </c>
      <c r="X42" s="71">
        <f t="shared" si="16"/>
        <v>-2</v>
      </c>
      <c r="Y42" s="72">
        <f t="shared" si="17"/>
        <v>1</v>
      </c>
      <c r="Z42" s="73">
        <f t="shared" ca="1" si="10"/>
        <v>0.24366916100896988</v>
      </c>
      <c r="AA42" s="73">
        <f t="shared" ca="1" si="11"/>
        <v>0.32132900850355056</v>
      </c>
      <c r="AB42" s="72">
        <f t="shared" ca="1" si="12"/>
        <v>4.3035180007355258</v>
      </c>
      <c r="AC42" s="98">
        <f t="shared" ca="1" si="13"/>
        <v>0.60408927252087019</v>
      </c>
      <c r="AD42" s="66">
        <f t="shared" ca="1" si="14"/>
        <v>3.6994287282146558</v>
      </c>
      <c r="AF42" s="129">
        <f t="shared" ca="1" si="15"/>
        <v>0.24366916100896988</v>
      </c>
      <c r="AL42" s="130"/>
      <c r="AM42" s="130"/>
      <c r="AN42" s="130"/>
      <c r="AQ42" s="127"/>
    </row>
    <row r="43" spans="1:43" ht="15" customHeight="1" x14ac:dyDescent="0.2">
      <c r="A43" s="173"/>
      <c r="B43" s="173"/>
      <c r="C43" s="173"/>
      <c r="D43" s="173"/>
      <c r="E43" s="173"/>
      <c r="F43" s="44"/>
      <c r="H43" s="44"/>
      <c r="I43" s="44"/>
      <c r="J43" s="44"/>
      <c r="K43" s="44"/>
      <c r="L43" s="44"/>
      <c r="N43" s="44"/>
      <c r="O43" s="69">
        <v>-8</v>
      </c>
      <c r="P43" s="69">
        <v>-8</v>
      </c>
      <c r="Q43" s="70">
        <v>0</v>
      </c>
      <c r="R43" s="92">
        <f t="shared" ca="1" si="3"/>
        <v>84.327272727272714</v>
      </c>
      <c r="S43" s="92">
        <f t="shared" ca="1" si="5"/>
        <v>63.463414634146346</v>
      </c>
      <c r="T43" s="93">
        <f t="shared" ca="1" si="6"/>
        <v>0</v>
      </c>
      <c r="U43" s="111">
        <f t="shared" ca="1" si="7"/>
        <v>0</v>
      </c>
      <c r="V43" s="95">
        <f t="shared" ca="1" si="8"/>
        <v>0</v>
      </c>
      <c r="W43" s="92">
        <f t="shared" si="9"/>
        <v>-8</v>
      </c>
      <c r="X43" s="92">
        <f t="shared" si="16"/>
        <v>-8</v>
      </c>
      <c r="Y43" s="93">
        <f t="shared" si="17"/>
        <v>0</v>
      </c>
      <c r="Z43" s="94">
        <f t="shared" ca="1" si="10"/>
        <v>0.22783402451173473</v>
      </c>
      <c r="AA43" s="94">
        <f t="shared" ca="1" si="11"/>
        <v>0.29435053202168254</v>
      </c>
      <c r="AB43" s="93">
        <f t="shared" ca="1" si="12"/>
        <v>0</v>
      </c>
      <c r="AC43" s="97">
        <f t="shared" ca="1" si="13"/>
        <v>0</v>
      </c>
      <c r="AD43" s="95">
        <f t="shared" ca="1" si="14"/>
        <v>0</v>
      </c>
      <c r="AF43" s="99">
        <f t="shared" ca="1" si="15"/>
        <v>0</v>
      </c>
      <c r="AL43" s="130"/>
      <c r="AM43" s="130"/>
      <c r="AN43" s="130"/>
      <c r="AQ43" s="127"/>
    </row>
    <row r="44" spans="1:43" ht="15" customHeight="1" x14ac:dyDescent="0.25">
      <c r="B44" s="114"/>
      <c r="C44" s="114"/>
      <c r="D44" s="114"/>
      <c r="E44" s="114"/>
      <c r="F44" s="44"/>
      <c r="H44" s="44"/>
      <c r="I44" s="44"/>
      <c r="J44" s="44"/>
      <c r="K44" s="44"/>
      <c r="L44" s="44"/>
      <c r="N44" s="41" t="s">
        <v>291</v>
      </c>
      <c r="O44" s="85" t="s">
        <v>151</v>
      </c>
      <c r="P44" s="74"/>
      <c r="Q44" s="68">
        <f>SUM(Q19:Q43)</f>
        <v>8760</v>
      </c>
      <c r="R44" s="67"/>
      <c r="S44" s="74"/>
      <c r="T44" s="68">
        <f ca="1">SUM(T19:T43)</f>
        <v>154043.92667275327</v>
      </c>
      <c r="U44" s="113">
        <f ca="1">SUM(U19:U43)</f>
        <v>0.1758492313615905</v>
      </c>
      <c r="V44" s="48">
        <f ca="1">SUM(V19:V43)</f>
        <v>211603.65601029078</v>
      </c>
      <c r="W44" s="85" t="s">
        <v>151</v>
      </c>
      <c r="X44" s="74"/>
      <c r="Y44" s="68">
        <f>SUM(Y19:Y43)</f>
        <v>8760</v>
      </c>
      <c r="Z44" s="67"/>
      <c r="AA44" s="74"/>
      <c r="AB44" s="100">
        <f ca="1">SUM(AB19:AB43)</f>
        <v>94065.362623504916</v>
      </c>
      <c r="AC44" s="100">
        <f ca="1">SUM(AC19:AC43)</f>
        <v>136029.39390926386</v>
      </c>
      <c r="AD44" s="101">
        <f ca="1">SUM(AD19:AD43)</f>
        <v>-41964.031285758931</v>
      </c>
      <c r="AF44" s="133">
        <f ca="1">IF($C$7="On-Off",SUM(AF19:AF43),(SUM(AF19:AF43)/$Y$44)^(1/3))</f>
        <v>5326.067646645487</v>
      </c>
      <c r="AG44" s="1" t="str">
        <f>IF($C$7="VSD","&lt;== Average Speed","Total Operation Hours")</f>
        <v>Total Operation Hours</v>
      </c>
      <c r="AM44" s="134"/>
      <c r="AN44" s="130"/>
      <c r="AQ44" s="130"/>
    </row>
    <row r="45" spans="1:43" ht="15" customHeight="1" x14ac:dyDescent="0.2">
      <c r="B45" s="114"/>
      <c r="C45" s="114"/>
      <c r="D45" s="114"/>
      <c r="E45" s="114"/>
      <c r="F45" s="44"/>
      <c r="H45" s="44"/>
      <c r="I45" s="44"/>
      <c r="J45" s="44"/>
      <c r="K45" s="44"/>
      <c r="L45" s="44"/>
      <c r="AJ45" s="126"/>
      <c r="AK45" s="126"/>
      <c r="AL45" s="126"/>
      <c r="AM45" s="126"/>
      <c r="AN45" s="130"/>
    </row>
    <row r="46" spans="1:43" ht="15" customHeight="1" x14ac:dyDescent="0.2">
      <c r="B46" s="114"/>
      <c r="C46" s="114"/>
      <c r="D46" s="114"/>
      <c r="E46" s="114"/>
    </row>
    <row r="47" spans="1:43" ht="15" customHeight="1" x14ac:dyDescent="0.2"/>
    <row r="48" spans="1:43" ht="15" customHeight="1" x14ac:dyDescent="0.2"/>
    <row r="49" spans="1:25" ht="15" customHeight="1" x14ac:dyDescent="0.2">
      <c r="Y49" s="128"/>
    </row>
    <row r="50" spans="1:25" ht="15" customHeight="1" x14ac:dyDescent="0.2"/>
    <row r="51" spans="1:25" ht="15" customHeight="1" x14ac:dyDescent="0.2">
      <c r="B51" s="110"/>
      <c r="C51" s="110"/>
      <c r="D51" s="110"/>
      <c r="E51" s="110"/>
    </row>
    <row r="52" spans="1:25" ht="15" customHeight="1" x14ac:dyDescent="0.2">
      <c r="B52" s="110"/>
      <c r="C52" s="110"/>
      <c r="D52" s="110"/>
      <c r="E52" s="110"/>
    </row>
    <row r="53" spans="1:25" ht="15" customHeight="1" x14ac:dyDescent="0.2">
      <c r="B53" s="110"/>
      <c r="C53" s="110"/>
      <c r="D53" s="110"/>
      <c r="E53" s="110"/>
    </row>
    <row r="54" spans="1:25" ht="15" customHeight="1" x14ac:dyDescent="0.2"/>
    <row r="55" spans="1:25" ht="15" customHeight="1" x14ac:dyDescent="0.2"/>
    <row r="56" spans="1:25" ht="15" customHeight="1" x14ac:dyDescent="0.2">
      <c r="B56" s="110"/>
      <c r="C56" s="110"/>
      <c r="D56" s="110"/>
      <c r="E56" s="110"/>
    </row>
    <row r="57" spans="1:25" ht="15" customHeight="1" x14ac:dyDescent="0.2">
      <c r="A57" s="110"/>
      <c r="B57" s="110"/>
      <c r="C57" s="110"/>
      <c r="D57" s="110"/>
      <c r="E57" s="110"/>
    </row>
    <row r="58" spans="1:25" ht="15" customHeight="1" x14ac:dyDescent="0.2">
      <c r="A58" s="110"/>
      <c r="B58" s="110"/>
      <c r="C58" s="110"/>
      <c r="D58" s="110"/>
      <c r="E58" s="110"/>
    </row>
    <row r="59" spans="1:25" ht="15" customHeight="1" x14ac:dyDescent="0.2"/>
    <row r="60" spans="1:25" ht="15" customHeight="1" x14ac:dyDescent="0.2"/>
    <row r="61" spans="1:25" ht="15" customHeight="1" x14ac:dyDescent="0.2"/>
    <row r="62" spans="1:25" ht="15" customHeight="1" x14ac:dyDescent="0.2"/>
    <row r="63" spans="1:25" ht="15" customHeight="1" x14ac:dyDescent="0.2"/>
    <row r="64" spans="1:2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sheetData>
  <sheetProtection selectLockedCells="1"/>
  <mergeCells count="55">
    <mergeCell ref="AF15:AF17"/>
    <mergeCell ref="W2:AD2"/>
    <mergeCell ref="H21:L22"/>
    <mergeCell ref="H30:L31"/>
    <mergeCell ref="H33:L34"/>
    <mergeCell ref="H23:L27"/>
    <mergeCell ref="H32:L32"/>
    <mergeCell ref="AD15:AD16"/>
    <mergeCell ref="C7:D7"/>
    <mergeCell ref="W15:Y15"/>
    <mergeCell ref="Z15:Z16"/>
    <mergeCell ref="AA15:AA16"/>
    <mergeCell ref="AB15:AB16"/>
    <mergeCell ref="AC15:AC16"/>
    <mergeCell ref="W8:X8"/>
    <mergeCell ref="W9:X9"/>
    <mergeCell ref="W10:X10"/>
    <mergeCell ref="W11:X11"/>
    <mergeCell ref="W14:AD14"/>
    <mergeCell ref="G12:G15"/>
    <mergeCell ref="A1:G1"/>
    <mergeCell ref="C5:D5"/>
    <mergeCell ref="C6:D6"/>
    <mergeCell ref="O1:V1"/>
    <mergeCell ref="O3:V3"/>
    <mergeCell ref="O4:P5"/>
    <mergeCell ref="H1:N1"/>
    <mergeCell ref="A2:G2"/>
    <mergeCell ref="H2:N2"/>
    <mergeCell ref="O2:V2"/>
    <mergeCell ref="W1:AD1"/>
    <mergeCell ref="O14:V14"/>
    <mergeCell ref="R15:R16"/>
    <mergeCell ref="S15:S16"/>
    <mergeCell ref="T15:T16"/>
    <mergeCell ref="U15:U16"/>
    <mergeCell ref="V15:V16"/>
    <mergeCell ref="O15:Q15"/>
    <mergeCell ref="O8:P8"/>
    <mergeCell ref="O9:P9"/>
    <mergeCell ref="O10:P10"/>
    <mergeCell ref="O11:P11"/>
    <mergeCell ref="O7:P7"/>
    <mergeCell ref="W3:AD3"/>
    <mergeCell ref="W4:X5"/>
    <mergeCell ref="W7:X7"/>
    <mergeCell ref="A42:E43"/>
    <mergeCell ref="G16:G18"/>
    <mergeCell ref="G23:G25"/>
    <mergeCell ref="G30:G32"/>
    <mergeCell ref="G26:G29"/>
    <mergeCell ref="G19:G22"/>
    <mergeCell ref="A37:E38"/>
    <mergeCell ref="A39:E41"/>
    <mergeCell ref="C20:D20"/>
  </mergeCells>
  <dataValidations count="2">
    <dataValidation type="list" allowBlank="1" showInputMessage="1" showErrorMessage="1" sqref="C6:D6">
      <formula1>"Evaporative,Air Cooled"</formula1>
    </dataValidation>
    <dataValidation type="list" allowBlank="1" showInputMessage="1" showErrorMessage="1" sqref="C7:D7 C20:D20">
      <formula1>"On-Off,VSD"</formula1>
    </dataValidation>
  </dataValidation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3076" r:id="rId4">
          <objectPr defaultSize="0" r:id="rId5">
            <anchor moveWithCells="1">
              <from>
                <xdr:col>6</xdr:col>
                <xdr:colOff>257175</xdr:colOff>
                <xdr:row>4</xdr:row>
                <xdr:rowOff>47625</xdr:rowOff>
              </from>
              <to>
                <xdr:col>6</xdr:col>
                <xdr:colOff>1857375</xdr:colOff>
                <xdr:row>8</xdr:row>
                <xdr:rowOff>171450</xdr:rowOff>
              </to>
            </anchor>
          </objectPr>
        </oleObject>
      </mc:Choice>
      <mc:Fallback>
        <oleObject progId="Equation.DSMT4" shapeId="3076" r:id="rId4"/>
      </mc:Fallback>
    </mc:AlternateContent>
    <mc:AlternateContent xmlns:mc="http://schemas.openxmlformats.org/markup-compatibility/2006">
      <mc:Choice Requires="x14">
        <oleObject progId="Equation.DSMT4" shapeId="3080" r:id="rId6">
          <objectPr defaultSize="0" r:id="rId7">
            <anchor moveWithCells="1">
              <from>
                <xdr:col>13</xdr:col>
                <xdr:colOff>581025</xdr:colOff>
                <xdr:row>4</xdr:row>
                <xdr:rowOff>0</xdr:rowOff>
              </from>
              <to>
                <xdr:col>13</xdr:col>
                <xdr:colOff>1504950</xdr:colOff>
                <xdr:row>5</xdr:row>
                <xdr:rowOff>47625</xdr:rowOff>
              </to>
            </anchor>
          </objectPr>
        </oleObject>
      </mc:Choice>
      <mc:Fallback>
        <oleObject progId="Equation.DSMT4" shapeId="3080" r:id="rId6"/>
      </mc:Fallback>
    </mc:AlternateContent>
    <mc:AlternateContent xmlns:mc="http://schemas.openxmlformats.org/markup-compatibility/2006">
      <mc:Choice Requires="x14">
        <oleObject progId="Equation.DSMT4" shapeId="3081" r:id="rId8">
          <objectPr defaultSize="0" r:id="rId9">
            <anchor moveWithCells="1">
              <from>
                <xdr:col>13</xdr:col>
                <xdr:colOff>733425</xdr:colOff>
                <xdr:row>6</xdr:row>
                <xdr:rowOff>0</xdr:rowOff>
              </from>
              <to>
                <xdr:col>13</xdr:col>
                <xdr:colOff>1343025</xdr:colOff>
                <xdr:row>7</xdr:row>
                <xdr:rowOff>38100</xdr:rowOff>
              </to>
            </anchor>
          </objectPr>
        </oleObject>
      </mc:Choice>
      <mc:Fallback>
        <oleObject progId="Equation.DSMT4" shapeId="3081" r:id="rId8"/>
      </mc:Fallback>
    </mc:AlternateContent>
    <mc:AlternateContent xmlns:mc="http://schemas.openxmlformats.org/markup-compatibility/2006">
      <mc:Choice Requires="x14">
        <oleObject progId="Equation.DSMT4" shapeId="3082" r:id="rId10">
          <objectPr defaultSize="0" autoPict="0" r:id="rId11">
            <anchor moveWithCells="1">
              <from>
                <xdr:col>13</xdr:col>
                <xdr:colOff>733425</xdr:colOff>
                <xdr:row>8</xdr:row>
                <xdr:rowOff>0</xdr:rowOff>
              </from>
              <to>
                <xdr:col>13</xdr:col>
                <xdr:colOff>1295400</xdr:colOff>
                <xdr:row>9</xdr:row>
                <xdr:rowOff>38100</xdr:rowOff>
              </to>
            </anchor>
          </objectPr>
        </oleObject>
      </mc:Choice>
      <mc:Fallback>
        <oleObject progId="Equation.DSMT4" shapeId="3082" r:id="rId10"/>
      </mc:Fallback>
    </mc:AlternateContent>
    <mc:AlternateContent xmlns:mc="http://schemas.openxmlformats.org/markup-compatibility/2006">
      <mc:Choice Requires="x14">
        <oleObject progId="Equation.DSMT4" shapeId="3084" r:id="rId12">
          <objectPr defaultSize="0" r:id="rId13">
            <anchor moveWithCells="1">
              <from>
                <xdr:col>13</xdr:col>
                <xdr:colOff>342900</xdr:colOff>
                <xdr:row>13</xdr:row>
                <xdr:rowOff>0</xdr:rowOff>
              </from>
              <to>
                <xdr:col>13</xdr:col>
                <xdr:colOff>1724025</xdr:colOff>
                <xdr:row>15</xdr:row>
                <xdr:rowOff>47625</xdr:rowOff>
              </to>
            </anchor>
          </objectPr>
        </oleObject>
      </mc:Choice>
      <mc:Fallback>
        <oleObject progId="Equation.DSMT4" shapeId="3084" r:id="rId12"/>
      </mc:Fallback>
    </mc:AlternateContent>
    <mc:AlternateContent xmlns:mc="http://schemas.openxmlformats.org/markup-compatibility/2006">
      <mc:Choice Requires="x14">
        <oleObject progId="Equation.DSMT4" shapeId="3087" r:id="rId14">
          <objectPr defaultSize="0" r:id="rId15">
            <anchor moveWithCells="1">
              <from>
                <xdr:col>13</xdr:col>
                <xdr:colOff>628650</xdr:colOff>
                <xdr:row>16</xdr:row>
                <xdr:rowOff>0</xdr:rowOff>
              </from>
              <to>
                <xdr:col>13</xdr:col>
                <xdr:colOff>1428750</xdr:colOff>
                <xdr:row>17</xdr:row>
                <xdr:rowOff>38100</xdr:rowOff>
              </to>
            </anchor>
          </objectPr>
        </oleObject>
      </mc:Choice>
      <mc:Fallback>
        <oleObject progId="Equation.DSMT4" shapeId="3087" r:id="rId14"/>
      </mc:Fallback>
    </mc:AlternateContent>
    <mc:AlternateContent xmlns:mc="http://schemas.openxmlformats.org/markup-compatibility/2006">
      <mc:Choice Requires="x14">
        <oleObject progId="Equation.DSMT4" shapeId="3088" r:id="rId16">
          <objectPr defaultSize="0" r:id="rId17">
            <anchor moveWithCells="1">
              <from>
                <xdr:col>13</xdr:col>
                <xdr:colOff>142875</xdr:colOff>
                <xdr:row>18</xdr:row>
                <xdr:rowOff>0</xdr:rowOff>
              </from>
              <to>
                <xdr:col>13</xdr:col>
                <xdr:colOff>1924050</xdr:colOff>
                <xdr:row>23</xdr:row>
                <xdr:rowOff>38100</xdr:rowOff>
              </to>
            </anchor>
          </objectPr>
        </oleObject>
      </mc:Choice>
      <mc:Fallback>
        <oleObject progId="Equation.DSMT4" shapeId="3088" r:id="rId16"/>
      </mc:Fallback>
    </mc:AlternateContent>
    <mc:AlternateContent xmlns:mc="http://schemas.openxmlformats.org/markup-compatibility/2006">
      <mc:Choice Requires="x14">
        <oleObject progId="Equation.DSMT4" shapeId="3089" r:id="rId18">
          <objectPr defaultSize="0" r:id="rId19">
            <anchor moveWithCells="1">
              <from>
                <xdr:col>13</xdr:col>
                <xdr:colOff>514350</xdr:colOff>
                <xdr:row>24</xdr:row>
                <xdr:rowOff>0</xdr:rowOff>
              </from>
              <to>
                <xdr:col>13</xdr:col>
                <xdr:colOff>1543050</xdr:colOff>
                <xdr:row>25</xdr:row>
                <xdr:rowOff>66675</xdr:rowOff>
              </to>
            </anchor>
          </objectPr>
        </oleObject>
      </mc:Choice>
      <mc:Fallback>
        <oleObject progId="Equation.DSMT4" shapeId="3089" r:id="rId18"/>
      </mc:Fallback>
    </mc:AlternateContent>
    <mc:AlternateContent xmlns:mc="http://schemas.openxmlformats.org/markup-compatibility/2006">
      <mc:Choice Requires="x14">
        <oleObject progId="Equation.DSMT4" shapeId="3091" r:id="rId20">
          <objectPr defaultSize="0" r:id="rId21">
            <anchor moveWithCells="1">
              <from>
                <xdr:col>13</xdr:col>
                <xdr:colOff>361950</xdr:colOff>
                <xdr:row>26</xdr:row>
                <xdr:rowOff>0</xdr:rowOff>
              </from>
              <to>
                <xdr:col>13</xdr:col>
                <xdr:colOff>1685925</xdr:colOff>
                <xdr:row>28</xdr:row>
                <xdr:rowOff>47625</xdr:rowOff>
              </to>
            </anchor>
          </objectPr>
        </oleObject>
      </mc:Choice>
      <mc:Fallback>
        <oleObject progId="Equation.DSMT4" shapeId="3091" r:id="rId20"/>
      </mc:Fallback>
    </mc:AlternateContent>
    <mc:AlternateContent xmlns:mc="http://schemas.openxmlformats.org/markup-compatibility/2006">
      <mc:Choice Requires="x14">
        <oleObject progId="Equation.DSMT4" shapeId="3092" r:id="rId22">
          <objectPr defaultSize="0" r:id="rId23">
            <anchor moveWithCells="1">
              <from>
                <xdr:col>13</xdr:col>
                <xdr:colOff>714375</xdr:colOff>
                <xdr:row>29</xdr:row>
                <xdr:rowOff>0</xdr:rowOff>
              </from>
              <to>
                <xdr:col>13</xdr:col>
                <xdr:colOff>1352550</xdr:colOff>
                <xdr:row>30</xdr:row>
                <xdr:rowOff>38100</xdr:rowOff>
              </to>
            </anchor>
          </objectPr>
        </oleObject>
      </mc:Choice>
      <mc:Fallback>
        <oleObject progId="Equation.DSMT4" shapeId="3092" r:id="rId22"/>
      </mc:Fallback>
    </mc:AlternateContent>
    <mc:AlternateContent xmlns:mc="http://schemas.openxmlformats.org/markup-compatibility/2006">
      <mc:Choice Requires="x14">
        <oleObject progId="Equation.DSMT4" shapeId="3093" r:id="rId24">
          <objectPr defaultSize="0" r:id="rId25">
            <anchor moveWithCells="1">
              <from>
                <xdr:col>13</xdr:col>
                <xdr:colOff>733425</xdr:colOff>
                <xdr:row>43</xdr:row>
                <xdr:rowOff>161925</xdr:rowOff>
              </from>
              <to>
                <xdr:col>13</xdr:col>
                <xdr:colOff>1371600</xdr:colOff>
                <xdr:row>45</xdr:row>
                <xdr:rowOff>9525</xdr:rowOff>
              </to>
            </anchor>
          </objectPr>
        </oleObject>
      </mc:Choice>
      <mc:Fallback>
        <oleObject progId="Equation.DSMT4" shapeId="3093" r:id="rId24"/>
      </mc:Fallback>
    </mc:AlternateContent>
    <mc:AlternateContent xmlns:mc="http://schemas.openxmlformats.org/markup-compatibility/2006">
      <mc:Choice Requires="x14">
        <oleObject progId="Equation.DSMT4" shapeId="3095" r:id="rId26">
          <objectPr defaultSize="0" r:id="rId27">
            <anchor moveWithCells="1">
              <from>
                <xdr:col>13</xdr:col>
                <xdr:colOff>247650</xdr:colOff>
                <xdr:row>31</xdr:row>
                <xdr:rowOff>0</xdr:rowOff>
              </from>
              <to>
                <xdr:col>13</xdr:col>
                <xdr:colOff>1847850</xdr:colOff>
                <xdr:row>35</xdr:row>
                <xdr:rowOff>180975</xdr:rowOff>
              </to>
            </anchor>
          </objectPr>
        </oleObject>
      </mc:Choice>
      <mc:Fallback>
        <oleObject progId="Equation.DSMT4" shapeId="3095" r:id="rId26"/>
      </mc:Fallback>
    </mc:AlternateContent>
    <mc:AlternateContent xmlns:mc="http://schemas.openxmlformats.org/markup-compatibility/2006">
      <mc:Choice Requires="x14">
        <oleObject progId="Equation.DSMT4" shapeId="3101" r:id="rId28">
          <objectPr defaultSize="0" r:id="rId29">
            <anchor moveWithCells="1">
              <from>
                <xdr:col>13</xdr:col>
                <xdr:colOff>38100</xdr:colOff>
                <xdr:row>36</xdr:row>
                <xdr:rowOff>161925</xdr:rowOff>
              </from>
              <to>
                <xdr:col>13</xdr:col>
                <xdr:colOff>2085975</xdr:colOff>
                <xdr:row>43</xdr:row>
                <xdr:rowOff>76200</xdr:rowOff>
              </to>
            </anchor>
          </objectPr>
        </oleObject>
      </mc:Choice>
      <mc:Fallback>
        <oleObject progId="Equation.DSMT4" shapeId="3101" r:id="rId28"/>
      </mc:Fallback>
    </mc:AlternateContent>
    <mc:AlternateContent xmlns:mc="http://schemas.openxmlformats.org/markup-compatibility/2006">
      <mc:Choice Requires="x14">
        <oleObject progId="Equation.DSMT4" shapeId="3102" r:id="rId30">
          <objectPr defaultSize="0" r:id="rId31">
            <anchor moveWithCells="1">
              <from>
                <xdr:col>13</xdr:col>
                <xdr:colOff>923925</xdr:colOff>
                <xdr:row>10</xdr:row>
                <xdr:rowOff>19050</xdr:rowOff>
              </from>
              <to>
                <xdr:col>13</xdr:col>
                <xdr:colOff>1123950</xdr:colOff>
                <xdr:row>11</xdr:row>
                <xdr:rowOff>180975</xdr:rowOff>
              </to>
            </anchor>
          </objectPr>
        </oleObject>
      </mc:Choice>
      <mc:Fallback>
        <oleObject progId="Equation.DSMT4" shapeId="3102" r:id="rId30"/>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'P-T Table'!$J$5:$J$11</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view="pageBreakPreview" zoomScale="103" zoomScaleNormal="100" zoomScaleSheetLayoutView="47" workbookViewId="0">
      <selection activeCell="C7" sqref="C7"/>
    </sheetView>
  </sheetViews>
  <sheetFormatPr defaultRowHeight="12.75" x14ac:dyDescent="0.2"/>
  <cols>
    <col min="1" max="4" width="16.6640625" style="1" customWidth="1"/>
    <col min="5" max="5" width="41.6640625" style="1" customWidth="1"/>
    <col min="6" max="6" width="16.1640625" style="1" customWidth="1"/>
    <col min="7" max="7" width="4" style="1" customWidth="1"/>
    <col min="8" max="8" width="23.6640625" style="1" customWidth="1"/>
    <col min="9" max="9" width="6.6640625" style="1" customWidth="1"/>
    <col min="10" max="10" width="10.83203125" style="1" customWidth="1"/>
    <col min="11" max="12" width="10" style="1" customWidth="1"/>
    <col min="13" max="13" width="1.6640625" style="1" customWidth="1"/>
    <col min="14" max="14" width="47" style="1" customWidth="1"/>
    <col min="15" max="27" width="9.33203125" style="1"/>
    <col min="28" max="28" width="33.5" style="1" bestFit="1" customWidth="1"/>
    <col min="29" max="29" width="33.5" style="1" customWidth="1"/>
    <col min="30" max="30" width="25" style="1" bestFit="1" customWidth="1"/>
    <col min="31" max="31" width="27.6640625" style="1" bestFit="1" customWidth="1"/>
    <col min="32" max="32" width="12.6640625" style="1" bestFit="1" customWidth="1"/>
    <col min="33" max="34" width="18.83203125" style="1" bestFit="1" customWidth="1"/>
    <col min="35" max="35" width="15.33203125" style="1" bestFit="1" customWidth="1"/>
    <col min="36" max="36" width="9.33203125" style="1"/>
    <col min="37" max="37" width="12.5" style="1" bestFit="1" customWidth="1"/>
    <col min="38" max="16384" width="9.33203125" style="1"/>
  </cols>
  <sheetData>
    <row r="1" spans="1:43" ht="30" customHeight="1" x14ac:dyDescent="0.2">
      <c r="A1" s="197" t="str">
        <f>"3 - AR No. "&amp;'[1]Database Export'!A3&amp;" - Incentives"</f>
        <v>3 - AR No. 1 - Incentives</v>
      </c>
      <c r="B1" s="198"/>
      <c r="C1" s="198"/>
      <c r="D1" s="198"/>
      <c r="E1" s="198"/>
      <c r="F1" s="199"/>
      <c r="G1" s="199"/>
      <c r="W1" s="200"/>
      <c r="X1" s="200"/>
      <c r="Y1" s="200"/>
      <c r="Z1" s="200"/>
      <c r="AA1" s="200"/>
      <c r="AB1" s="200"/>
      <c r="AC1" s="200"/>
      <c r="AD1" s="200"/>
      <c r="AE1" s="200"/>
      <c r="AF1" s="200"/>
      <c r="AG1" s="200"/>
      <c r="AH1" s="200"/>
      <c r="AI1" s="200"/>
      <c r="AJ1" s="200"/>
      <c r="AK1" s="200"/>
      <c r="AL1" s="200"/>
      <c r="AM1" s="200"/>
      <c r="AN1" s="200"/>
    </row>
    <row r="2" spans="1:43" s="139" customFormat="1" ht="15" customHeight="1" x14ac:dyDescent="0.2">
      <c r="A2" s="201" t="str">
        <f>Narrative!A2</f>
        <v>Refrigeration Discharge Pressure Template style 2015</v>
      </c>
      <c r="B2" s="202"/>
      <c r="C2" s="202"/>
      <c r="D2" s="202"/>
      <c r="E2" s="202"/>
      <c r="F2" s="203"/>
      <c r="G2" s="203"/>
      <c r="I2" s="1"/>
      <c r="J2" s="1"/>
      <c r="K2" s="1"/>
      <c r="L2" s="1"/>
      <c r="M2" s="1"/>
      <c r="N2" s="1"/>
      <c r="O2" s="1"/>
      <c r="P2" s="1"/>
      <c r="Q2" s="1"/>
      <c r="R2" s="1"/>
      <c r="S2" s="1"/>
      <c r="T2" s="1"/>
      <c r="U2" s="1"/>
      <c r="V2" s="1"/>
      <c r="W2" s="200"/>
      <c r="X2" s="200"/>
      <c r="Y2" s="200"/>
      <c r="Z2" s="200"/>
      <c r="AA2" s="200"/>
      <c r="AB2" s="200"/>
      <c r="AC2" s="200"/>
      <c r="AD2" s="200"/>
      <c r="AE2" s="200"/>
      <c r="AF2" s="200"/>
      <c r="AG2" s="200"/>
      <c r="AH2" s="200"/>
      <c r="AI2" s="200"/>
      <c r="AJ2" s="200"/>
      <c r="AK2" s="200"/>
      <c r="AL2" s="200"/>
      <c r="AM2" s="200"/>
      <c r="AN2" s="200"/>
      <c r="AO2" s="200"/>
      <c r="AP2" s="1"/>
      <c r="AQ2" s="1"/>
    </row>
    <row r="3" spans="1:43" ht="15" customHeight="1" x14ac:dyDescent="0.2">
      <c r="A3" s="3" t="s">
        <v>360</v>
      </c>
      <c r="B3" s="204"/>
      <c r="C3" s="3"/>
      <c r="D3" s="3"/>
      <c r="E3" s="3"/>
      <c r="H3" s="205"/>
      <c r="W3" s="200"/>
      <c r="X3" s="200"/>
      <c r="Y3" s="200"/>
      <c r="Z3" s="200"/>
      <c r="AA3" s="200"/>
      <c r="AB3" s="200"/>
      <c r="AC3" s="200"/>
      <c r="AD3" s="200"/>
      <c r="AE3" s="200"/>
      <c r="AF3" s="200"/>
      <c r="AG3" s="200"/>
      <c r="AH3" s="200"/>
      <c r="AI3" s="200"/>
      <c r="AJ3" s="200"/>
      <c r="AK3" s="200"/>
      <c r="AL3" s="200"/>
      <c r="AM3" s="200"/>
      <c r="AN3" s="200"/>
      <c r="AO3" s="200"/>
    </row>
    <row r="4" spans="1:43" ht="15" customHeight="1" x14ac:dyDescent="0.2">
      <c r="A4" s="137" t="s">
        <v>33</v>
      </c>
      <c r="C4" s="206">
        <f>Analysis!J17</f>
        <v>100</v>
      </c>
      <c r="G4" s="207" t="s">
        <v>361</v>
      </c>
      <c r="H4" s="207"/>
      <c r="I4" s="207"/>
      <c r="J4" s="207"/>
      <c r="K4" s="207"/>
      <c r="L4" s="207"/>
      <c r="M4" s="207"/>
      <c r="N4" s="207"/>
      <c r="W4" s="208"/>
      <c r="X4" s="200"/>
      <c r="Y4" s="200"/>
      <c r="Z4" s="200"/>
      <c r="AA4" s="200"/>
      <c r="AB4" s="200"/>
      <c r="AC4" s="200"/>
      <c r="AD4" s="200"/>
      <c r="AE4" s="200"/>
      <c r="AF4" s="200"/>
      <c r="AG4" s="200"/>
      <c r="AH4" s="200"/>
      <c r="AI4" s="200"/>
      <c r="AJ4" s="200"/>
      <c r="AK4" s="200"/>
      <c r="AL4" s="200"/>
      <c r="AM4" s="200"/>
      <c r="AN4" s="200"/>
    </row>
    <row r="5" spans="1:43" ht="15" customHeight="1" x14ac:dyDescent="0.2">
      <c r="A5" s="137" t="s">
        <v>340</v>
      </c>
      <c r="C5" s="206">
        <f ca="1">Analysis!J16</f>
        <v>8481.9812362265893</v>
      </c>
      <c r="D5" s="55" t="s">
        <v>362</v>
      </c>
      <c r="G5" s="209" t="s">
        <v>363</v>
      </c>
      <c r="H5" s="210" t="s">
        <v>364</v>
      </c>
      <c r="I5" s="211" t="s">
        <v>365</v>
      </c>
      <c r="J5" s="211"/>
      <c r="K5" s="211"/>
      <c r="L5" s="211"/>
      <c r="M5" s="211"/>
      <c r="N5" s="211"/>
      <c r="O5" s="212"/>
      <c r="P5" s="212"/>
      <c r="Q5" s="212"/>
      <c r="R5" s="212"/>
      <c r="S5" s="212"/>
      <c r="T5" s="212"/>
      <c r="U5" s="212"/>
      <c r="V5" s="212"/>
      <c r="W5" s="212"/>
      <c r="X5" s="212"/>
      <c r="Y5" s="212"/>
      <c r="Z5" s="212"/>
      <c r="AA5" s="212"/>
      <c r="AB5" s="212"/>
      <c r="AC5" s="212"/>
      <c r="AD5" s="212"/>
      <c r="AE5" s="212"/>
      <c r="AF5" s="212"/>
      <c r="AG5" s="212"/>
      <c r="AH5" s="212"/>
      <c r="AI5" s="212"/>
      <c r="AJ5" s="212"/>
      <c r="AK5" s="200"/>
      <c r="AL5" s="200"/>
      <c r="AM5" s="200"/>
      <c r="AN5" s="200"/>
    </row>
    <row r="6" spans="1:43" ht="15" customHeight="1" x14ac:dyDescent="0.2">
      <c r="A6" s="137" t="s">
        <v>342</v>
      </c>
      <c r="C6" s="57">
        <f ca="1">C4/C5</f>
        <v>1.1789698328133461E-2</v>
      </c>
      <c r="D6" s="55" t="s">
        <v>246</v>
      </c>
      <c r="F6" s="213"/>
      <c r="G6" s="209" t="s">
        <v>363</v>
      </c>
      <c r="H6" s="214" t="s">
        <v>366</v>
      </c>
      <c r="I6" s="211" t="s">
        <v>367</v>
      </c>
      <c r="J6" s="211"/>
      <c r="K6" s="211"/>
      <c r="L6" s="211"/>
      <c r="M6" s="211"/>
      <c r="N6" s="211"/>
      <c r="O6" s="212"/>
      <c r="P6" s="212"/>
      <c r="Q6" s="212"/>
      <c r="R6" s="212"/>
      <c r="S6" s="212"/>
      <c r="T6" s="212"/>
      <c r="U6" s="212"/>
      <c r="V6" s="212"/>
      <c r="W6" s="212"/>
      <c r="X6" s="212"/>
      <c r="Y6" s="212"/>
      <c r="Z6" s="212"/>
      <c r="AA6" s="212"/>
      <c r="AB6" s="212"/>
      <c r="AC6" s="212"/>
      <c r="AD6" s="212"/>
      <c r="AE6" s="212"/>
      <c r="AF6" s="212"/>
      <c r="AG6" s="212"/>
      <c r="AH6" s="212"/>
      <c r="AI6" s="212"/>
      <c r="AJ6" s="212"/>
      <c r="AK6" s="200"/>
      <c r="AL6" s="200"/>
      <c r="AM6" s="200"/>
      <c r="AN6" s="200"/>
    </row>
    <row r="7" spans="1:43" ht="15" customHeight="1" x14ac:dyDescent="0.2">
      <c r="A7" s="215"/>
      <c r="B7" s="216"/>
      <c r="G7" s="209" t="s">
        <v>363</v>
      </c>
      <c r="H7" s="214" t="s">
        <v>368</v>
      </c>
      <c r="I7" s="211" t="s">
        <v>369</v>
      </c>
      <c r="J7" s="211"/>
      <c r="K7" s="211"/>
      <c r="L7" s="211"/>
      <c r="M7" s="211"/>
      <c r="N7" s="211"/>
      <c r="O7" s="212"/>
      <c r="P7" s="212"/>
      <c r="Q7" s="212"/>
      <c r="R7" s="212"/>
      <c r="S7" s="212"/>
      <c r="T7" s="212"/>
      <c r="U7" s="212"/>
      <c r="V7" s="212"/>
      <c r="W7" s="212"/>
      <c r="X7" s="212"/>
      <c r="Y7" s="212"/>
      <c r="Z7" s="212"/>
      <c r="AA7" s="212"/>
      <c r="AB7" s="212"/>
      <c r="AC7" s="212"/>
      <c r="AD7" s="212"/>
      <c r="AE7" s="212"/>
      <c r="AF7" s="212"/>
      <c r="AG7" s="212"/>
      <c r="AH7" s="212"/>
      <c r="AI7" s="212"/>
      <c r="AJ7" s="212"/>
      <c r="AK7" s="200"/>
      <c r="AL7" s="200"/>
      <c r="AM7" s="200"/>
      <c r="AN7" s="200"/>
    </row>
    <row r="8" spans="1:43" ht="15" customHeight="1" x14ac:dyDescent="0.2">
      <c r="A8" s="143" t="s">
        <v>370</v>
      </c>
      <c r="B8" s="143"/>
      <c r="C8" s="143"/>
      <c r="D8" s="143"/>
      <c r="E8" s="143"/>
      <c r="F8" s="139"/>
      <c r="G8" s="151"/>
      <c r="H8" s="151"/>
      <c r="I8" s="151"/>
      <c r="J8" s="151"/>
      <c r="K8" s="151"/>
      <c r="L8" s="151"/>
      <c r="M8" s="151"/>
      <c r="N8" s="151"/>
      <c r="O8" s="217"/>
      <c r="P8" s="217"/>
      <c r="Q8" s="217"/>
      <c r="R8" s="217"/>
      <c r="S8" s="217"/>
      <c r="T8" s="217"/>
      <c r="U8" s="217"/>
      <c r="V8" s="217"/>
      <c r="W8" s="208"/>
      <c r="X8" s="200"/>
      <c r="Y8" s="200"/>
      <c r="Z8" s="200"/>
      <c r="AA8" s="200"/>
      <c r="AB8" s="200"/>
      <c r="AC8" s="200"/>
      <c r="AD8" s="200"/>
      <c r="AE8" s="200"/>
      <c r="AF8" s="200"/>
      <c r="AG8" s="200"/>
      <c r="AH8" s="200"/>
      <c r="AI8" s="200"/>
      <c r="AJ8" s="200"/>
      <c r="AK8" s="200"/>
      <c r="AL8" s="200"/>
      <c r="AM8" s="200"/>
      <c r="AN8" s="200"/>
    </row>
    <row r="9" spans="1:43" ht="15" customHeight="1" x14ac:dyDescent="0.2">
      <c r="A9" s="141" t="s">
        <v>149</v>
      </c>
      <c r="B9" s="140" t="s">
        <v>371</v>
      </c>
      <c r="C9" s="140" t="s">
        <v>372</v>
      </c>
      <c r="D9" s="49" t="s">
        <v>36</v>
      </c>
      <c r="E9" s="218" t="s">
        <v>256</v>
      </c>
      <c r="F9" s="49"/>
      <c r="G9" s="209"/>
      <c r="H9" s="219"/>
      <c r="I9" s="220"/>
      <c r="J9" s="211"/>
      <c r="K9" s="211"/>
      <c r="L9" s="211"/>
      <c r="M9" s="211"/>
      <c r="N9" s="211"/>
      <c r="O9" s="217"/>
      <c r="P9" s="217"/>
      <c r="Q9" s="217"/>
      <c r="R9" s="217"/>
      <c r="S9" s="217"/>
      <c r="T9" s="217"/>
      <c r="U9" s="217"/>
      <c r="V9" s="217"/>
      <c r="W9" s="208"/>
      <c r="X9" s="200"/>
      <c r="Y9" s="200"/>
      <c r="Z9" s="200"/>
      <c r="AA9" s="200"/>
      <c r="AB9" s="200"/>
      <c r="AC9" s="200"/>
      <c r="AD9" s="200"/>
      <c r="AE9" s="200"/>
      <c r="AF9" s="200"/>
      <c r="AG9" s="200"/>
      <c r="AH9" s="200"/>
      <c r="AI9" s="200"/>
      <c r="AJ9" s="200"/>
      <c r="AK9" s="200"/>
      <c r="AL9" s="200"/>
      <c r="AM9" s="200"/>
      <c r="AN9" s="200"/>
    </row>
    <row r="10" spans="1:43" ht="15" customHeight="1" x14ac:dyDescent="0.2">
      <c r="A10" s="221"/>
      <c r="B10" s="221"/>
      <c r="C10" s="221"/>
      <c r="D10" s="221" t="s">
        <v>373</v>
      </c>
      <c r="E10" s="221"/>
      <c r="F10" s="222"/>
      <c r="G10" s="207" t="s">
        <v>374</v>
      </c>
      <c r="H10" s="207"/>
      <c r="I10" s="207"/>
      <c r="J10" s="207"/>
      <c r="K10" s="207"/>
      <c r="L10" s="207"/>
      <c r="M10" s="207"/>
      <c r="N10" s="207"/>
      <c r="O10" s="217"/>
      <c r="P10" s="217"/>
      <c r="Q10" s="217"/>
      <c r="R10" s="217"/>
      <c r="S10" s="217"/>
      <c r="T10" s="217"/>
      <c r="U10" s="217"/>
      <c r="V10" s="217"/>
      <c r="W10" s="208"/>
      <c r="X10" s="200"/>
      <c r="Y10" s="200"/>
      <c r="Z10" s="200"/>
      <c r="AA10" s="200"/>
      <c r="AB10" s="200"/>
      <c r="AC10" s="200"/>
      <c r="AD10" s="200"/>
      <c r="AE10" s="200"/>
      <c r="AF10" s="200"/>
      <c r="AG10" s="200"/>
      <c r="AH10" s="200"/>
      <c r="AI10" s="200"/>
      <c r="AJ10" s="200"/>
      <c r="AK10" s="200"/>
      <c r="AL10" s="200"/>
      <c r="AM10" s="200"/>
      <c r="AN10" s="200"/>
    </row>
    <row r="11" spans="1:43" ht="15" customHeight="1" x14ac:dyDescent="0.2">
      <c r="A11" s="223"/>
      <c r="B11" s="224">
        <v>50</v>
      </c>
      <c r="C11" s="224" t="str">
        <f>IF(A11="","",$C$4-B11)</f>
        <v/>
      </c>
      <c r="D11" s="225" t="str">
        <f>IF(A11="","",C11/$C$5)</f>
        <v/>
      </c>
      <c r="E11" s="226"/>
      <c r="F11" s="227" t="str">
        <f>IF(A11="","&lt;&lt;HIDE ROW","")</f>
        <v>&lt;&lt;HIDE ROW</v>
      </c>
      <c r="G11" s="227"/>
      <c r="H11" s="211" t="s">
        <v>375</v>
      </c>
      <c r="I11" s="211"/>
      <c r="J11" s="211"/>
      <c r="K11" s="211"/>
      <c r="L11" s="211"/>
      <c r="M11" s="211"/>
      <c r="N11" s="211"/>
      <c r="O11" s="217"/>
      <c r="P11" s="217"/>
      <c r="Q11" s="217"/>
      <c r="R11" s="217"/>
      <c r="S11" s="217"/>
      <c r="T11" s="217"/>
      <c r="U11" s="217"/>
      <c r="V11" s="217"/>
      <c r="W11" s="208"/>
      <c r="X11" s="200"/>
      <c r="Y11" s="200"/>
      <c r="Z11" s="200"/>
      <c r="AA11" s="200"/>
      <c r="AB11" s="200"/>
      <c r="AC11" s="200"/>
      <c r="AD11" s="200"/>
      <c r="AE11" s="200"/>
      <c r="AF11" s="200"/>
      <c r="AG11" s="200"/>
      <c r="AH11" s="200"/>
      <c r="AI11" s="200"/>
      <c r="AJ11" s="200"/>
      <c r="AK11" s="200"/>
      <c r="AL11" s="200"/>
      <c r="AM11" s="200"/>
      <c r="AN11" s="200"/>
    </row>
    <row r="12" spans="1:43" ht="15" customHeight="1" x14ac:dyDescent="0.2">
      <c r="A12" s="223"/>
      <c r="B12" s="224"/>
      <c r="C12" s="224" t="str">
        <f>IF(A12="","",C11-B12)</f>
        <v/>
      </c>
      <c r="D12" s="225" t="str">
        <f>IF(A12="","",C12/$C$5)</f>
        <v/>
      </c>
      <c r="E12" s="226"/>
      <c r="F12" s="227" t="str">
        <f t="shared" ref="F12:F15" si="0">IF(A12="","&lt;&lt;HIDE ROW","")</f>
        <v>&lt;&lt;HIDE ROW</v>
      </c>
      <c r="G12" s="227"/>
      <c r="H12" s="211"/>
      <c r="I12" s="211"/>
      <c r="J12" s="211"/>
      <c r="K12" s="211"/>
      <c r="L12" s="211"/>
      <c r="M12" s="211"/>
      <c r="N12" s="211"/>
      <c r="O12" s="217"/>
      <c r="P12" s="217"/>
      <c r="Q12" s="217"/>
      <c r="R12" s="217"/>
      <c r="S12" s="217"/>
      <c r="T12" s="217"/>
      <c r="U12" s="217"/>
      <c r="V12" s="217"/>
      <c r="W12" s="208"/>
      <c r="X12" s="200"/>
      <c r="Y12" s="200"/>
      <c r="Z12" s="200"/>
      <c r="AA12" s="200"/>
      <c r="AB12" s="200"/>
      <c r="AC12" s="200"/>
      <c r="AD12" s="200"/>
      <c r="AE12" s="200"/>
      <c r="AF12" s="200"/>
      <c r="AG12" s="200"/>
      <c r="AH12" s="200"/>
      <c r="AI12" s="200"/>
      <c r="AJ12" s="200"/>
      <c r="AK12" s="200"/>
      <c r="AL12" s="200"/>
      <c r="AM12" s="200"/>
      <c r="AN12" s="200"/>
    </row>
    <row r="13" spans="1:43" ht="15" customHeight="1" x14ac:dyDescent="0.2">
      <c r="A13" s="223"/>
      <c r="B13" s="224"/>
      <c r="C13" s="224" t="str">
        <f>IF(A13="","",C12-B13)</f>
        <v/>
      </c>
      <c r="D13" s="225" t="str">
        <f>IF(A13="","",C13/$C$5)</f>
        <v/>
      </c>
      <c r="E13" s="226"/>
      <c r="F13" s="227" t="str">
        <f t="shared" si="0"/>
        <v>&lt;&lt;HIDE ROW</v>
      </c>
      <c r="G13" s="227"/>
      <c r="H13" s="211"/>
      <c r="I13" s="211"/>
      <c r="J13" s="211"/>
      <c r="K13" s="211"/>
      <c r="L13" s="211"/>
      <c r="M13" s="211"/>
      <c r="N13" s="211"/>
      <c r="O13" s="217"/>
      <c r="P13" s="217"/>
      <c r="Q13" s="217"/>
      <c r="R13" s="217"/>
      <c r="S13" s="217"/>
      <c r="T13" s="217"/>
      <c r="U13" s="217"/>
      <c r="V13" s="217"/>
      <c r="W13" s="208"/>
      <c r="X13" s="200"/>
      <c r="Y13" s="200"/>
      <c r="Z13" s="200"/>
      <c r="AA13" s="200"/>
      <c r="AB13" s="200"/>
      <c r="AC13" s="200"/>
      <c r="AD13" s="200"/>
      <c r="AE13" s="200"/>
      <c r="AF13" s="200"/>
      <c r="AG13" s="200"/>
      <c r="AH13" s="200"/>
      <c r="AI13" s="200"/>
      <c r="AJ13" s="200"/>
      <c r="AK13" s="200"/>
      <c r="AL13" s="200"/>
      <c r="AM13" s="200"/>
      <c r="AN13" s="200"/>
    </row>
    <row r="14" spans="1:43" ht="15" customHeight="1" x14ac:dyDescent="0.2">
      <c r="A14" s="223"/>
      <c r="B14" s="224"/>
      <c r="C14" s="224" t="str">
        <f>IF(A14="","",C13-B14)</f>
        <v/>
      </c>
      <c r="D14" s="225" t="str">
        <f>IF(A14="","",C14/$C$5)</f>
        <v/>
      </c>
      <c r="E14" s="226"/>
      <c r="F14" s="227" t="str">
        <f t="shared" si="0"/>
        <v>&lt;&lt;HIDE ROW</v>
      </c>
      <c r="G14" s="227"/>
      <c r="H14" s="211"/>
      <c r="I14" s="211"/>
      <c r="J14" s="211"/>
      <c r="K14" s="211"/>
      <c r="L14" s="211"/>
      <c r="M14" s="211"/>
      <c r="N14" s="211"/>
      <c r="O14" s="217"/>
      <c r="P14" s="217"/>
      <c r="Q14" s="217"/>
      <c r="R14" s="217"/>
      <c r="S14" s="217"/>
      <c r="T14" s="217"/>
      <c r="U14" s="217"/>
      <c r="V14" s="217"/>
      <c r="W14" s="208"/>
      <c r="X14" s="200"/>
      <c r="Y14" s="200"/>
      <c r="Z14" s="200"/>
      <c r="AA14" s="200"/>
      <c r="AB14" s="200"/>
      <c r="AC14" s="200"/>
      <c r="AD14" s="200"/>
      <c r="AE14" s="200"/>
      <c r="AF14" s="200"/>
      <c r="AG14" s="200"/>
      <c r="AH14" s="200"/>
      <c r="AI14" s="200"/>
      <c r="AJ14" s="200"/>
      <c r="AK14" s="200"/>
      <c r="AL14" s="200"/>
      <c r="AM14" s="200"/>
      <c r="AN14" s="200"/>
    </row>
    <row r="15" spans="1:43" ht="15" customHeight="1" x14ac:dyDescent="0.2">
      <c r="A15" s="223"/>
      <c r="B15" s="224"/>
      <c r="C15" s="224" t="str">
        <f>IF(A15="","",C14-B15)</f>
        <v/>
      </c>
      <c r="D15" s="225" t="str">
        <f>IF(A15="","",C15/$C$5)</f>
        <v/>
      </c>
      <c r="E15" s="226"/>
      <c r="F15" s="227" t="str">
        <f t="shared" si="0"/>
        <v>&lt;&lt;HIDE ROW</v>
      </c>
      <c r="G15" s="227"/>
      <c r="H15" s="211"/>
      <c r="I15" s="211"/>
      <c r="J15" s="211"/>
      <c r="K15" s="211"/>
      <c r="L15" s="211"/>
      <c r="M15" s="211"/>
      <c r="N15" s="211"/>
      <c r="O15" s="217"/>
      <c r="P15" s="217"/>
      <c r="Q15" s="217"/>
      <c r="R15" s="217"/>
      <c r="S15" s="217"/>
      <c r="T15" s="217"/>
      <c r="U15" s="217"/>
      <c r="V15" s="217"/>
      <c r="W15" s="208"/>
      <c r="X15" s="200"/>
      <c r="Y15" s="200"/>
      <c r="Z15" s="200"/>
      <c r="AA15" s="200"/>
      <c r="AB15" s="200"/>
      <c r="AC15" s="200"/>
      <c r="AD15" s="200"/>
      <c r="AE15" s="200"/>
      <c r="AF15" s="200"/>
      <c r="AG15" s="200"/>
      <c r="AH15" s="200"/>
      <c r="AI15" s="200"/>
      <c r="AJ15" s="200"/>
      <c r="AK15" s="200"/>
      <c r="AL15" s="200"/>
      <c r="AM15" s="200"/>
      <c r="AN15" s="200"/>
    </row>
    <row r="16" spans="1:43" ht="15" customHeight="1" x14ac:dyDescent="0.2">
      <c r="A16" s="228" t="s">
        <v>151</v>
      </c>
      <c r="B16" s="229">
        <f>SUM(B11:B15)</f>
        <v>50</v>
      </c>
      <c r="C16" s="229">
        <f>C4-B16</f>
        <v>50</v>
      </c>
      <c r="D16" s="230">
        <f ca="1">IF(C5="","",C16/C5)</f>
        <v>5.8948491640667304E-3</v>
      </c>
      <c r="E16" s="231"/>
      <c r="F16" s="227" t="str">
        <f>IF(A12="","&lt;&lt;HIDE ROW","")</f>
        <v>&lt;&lt;HIDE ROW</v>
      </c>
      <c r="G16" s="207" t="s">
        <v>376</v>
      </c>
      <c r="H16" s="207"/>
      <c r="I16" s="207"/>
      <c r="J16" s="207"/>
      <c r="K16" s="207"/>
      <c r="L16" s="207"/>
      <c r="M16" s="207"/>
      <c r="N16" s="207"/>
      <c r="O16" s="217"/>
      <c r="P16" s="217"/>
      <c r="Q16" s="217"/>
      <c r="R16" s="217"/>
      <c r="S16" s="217"/>
      <c r="T16" s="217"/>
      <c r="U16" s="217"/>
      <c r="V16" s="217"/>
      <c r="W16" s="208"/>
      <c r="X16" s="200"/>
      <c r="Y16" s="200"/>
      <c r="Z16" s="200"/>
      <c r="AA16" s="200"/>
      <c r="AB16" s="200"/>
      <c r="AC16" s="200"/>
      <c r="AD16" s="200"/>
      <c r="AE16" s="200"/>
      <c r="AF16" s="200"/>
      <c r="AG16" s="200"/>
      <c r="AH16" s="200"/>
      <c r="AI16" s="200"/>
      <c r="AJ16" s="200"/>
      <c r="AK16" s="200"/>
      <c r="AL16" s="200"/>
      <c r="AM16" s="200"/>
      <c r="AN16" s="200"/>
    </row>
    <row r="17" spans="1:40" ht="15" customHeight="1" x14ac:dyDescent="0.2">
      <c r="A17" s="232"/>
      <c r="B17" s="216"/>
      <c r="G17" s="233" t="s">
        <v>377</v>
      </c>
      <c r="H17" s="233"/>
      <c r="I17" s="233"/>
      <c r="J17" s="233"/>
      <c r="K17" s="233"/>
      <c r="L17" s="233"/>
      <c r="M17" s="233"/>
      <c r="N17" s="233"/>
      <c r="O17" s="217"/>
      <c r="P17" s="217"/>
      <c r="Q17" s="217"/>
      <c r="R17" s="217"/>
      <c r="S17" s="217"/>
      <c r="T17" s="217"/>
      <c r="U17" s="217"/>
      <c r="V17" s="217"/>
      <c r="W17" s="208"/>
      <c r="X17" s="200"/>
      <c r="Y17" s="200"/>
      <c r="Z17" s="200"/>
      <c r="AA17" s="200"/>
      <c r="AB17" s="200"/>
      <c r="AC17" s="200"/>
      <c r="AD17" s="200"/>
      <c r="AE17" s="200"/>
      <c r="AF17" s="200"/>
      <c r="AG17" s="200"/>
      <c r="AH17" s="200"/>
      <c r="AI17" s="200"/>
      <c r="AJ17" s="200"/>
      <c r="AK17" s="200"/>
      <c r="AL17" s="200"/>
      <c r="AM17" s="200"/>
      <c r="AN17" s="200"/>
    </row>
    <row r="18" spans="1:40" ht="15" customHeight="1" x14ac:dyDescent="0.2">
      <c r="A18" s="36"/>
      <c r="B18" s="234"/>
      <c r="C18" s="36"/>
      <c r="D18" s="36"/>
      <c r="E18" s="36"/>
      <c r="F18" s="36"/>
      <c r="G18" s="36"/>
      <c r="H18" s="217"/>
      <c r="I18" s="217"/>
      <c r="J18" s="217"/>
      <c r="K18" s="217"/>
      <c r="L18" s="217"/>
      <c r="M18" s="217"/>
      <c r="N18" s="217"/>
      <c r="O18" s="217"/>
      <c r="P18" s="217"/>
      <c r="Q18" s="217"/>
      <c r="R18" s="217"/>
      <c r="S18" s="217"/>
      <c r="T18" s="217"/>
      <c r="U18" s="217"/>
      <c r="V18" s="217"/>
      <c r="W18" s="208"/>
      <c r="X18" s="200"/>
      <c r="Y18" s="200"/>
      <c r="Z18" s="200"/>
      <c r="AA18" s="200"/>
      <c r="AB18" s="200"/>
      <c r="AC18" s="200"/>
      <c r="AD18" s="200"/>
      <c r="AE18" s="200"/>
      <c r="AF18" s="200"/>
      <c r="AG18" s="200"/>
      <c r="AH18" s="200"/>
      <c r="AI18" s="200"/>
      <c r="AJ18" s="200"/>
      <c r="AK18" s="200"/>
      <c r="AL18" s="200"/>
      <c r="AM18" s="200"/>
      <c r="AN18" s="200"/>
    </row>
    <row r="19" spans="1:40" ht="15" customHeight="1" x14ac:dyDescent="0.2">
      <c r="A19" s="235" t="s">
        <v>378</v>
      </c>
      <c r="B19" s="235"/>
      <c r="C19" s="235"/>
      <c r="D19" s="235"/>
      <c r="E19" s="235"/>
      <c r="F19" s="36"/>
      <c r="G19" s="36"/>
      <c r="H19" s="217"/>
      <c r="I19" s="217"/>
      <c r="J19" s="217"/>
      <c r="K19" s="217"/>
      <c r="L19" s="217"/>
      <c r="M19" s="217"/>
      <c r="N19" s="217"/>
      <c r="O19" s="217"/>
      <c r="P19" s="217"/>
      <c r="Q19" s="217"/>
      <c r="R19" s="217"/>
      <c r="S19" s="217"/>
      <c r="T19" s="217"/>
      <c r="U19" s="217"/>
      <c r="V19" s="217"/>
      <c r="W19" s="208"/>
      <c r="X19" s="200"/>
      <c r="Y19" s="200"/>
      <c r="Z19" s="200"/>
      <c r="AA19" s="200"/>
      <c r="AB19" s="200"/>
      <c r="AC19" s="200"/>
      <c r="AD19" s="200"/>
      <c r="AE19" s="200"/>
      <c r="AF19" s="200"/>
      <c r="AG19" s="200"/>
      <c r="AH19" s="200"/>
      <c r="AI19" s="200"/>
      <c r="AJ19" s="200"/>
      <c r="AK19" s="200"/>
      <c r="AL19" s="200"/>
      <c r="AM19" s="200"/>
      <c r="AN19" s="200"/>
    </row>
    <row r="20" spans="1:40" ht="15" customHeight="1" x14ac:dyDescent="0.2">
      <c r="A20" s="236" t="s">
        <v>379</v>
      </c>
      <c r="B20" s="236"/>
      <c r="C20" s="236"/>
      <c r="D20" s="236"/>
      <c r="E20" s="236"/>
      <c r="F20" s="227" t="s">
        <v>380</v>
      </c>
      <c r="G20" s="237"/>
      <c r="H20" s="237"/>
      <c r="I20" s="237"/>
      <c r="J20" s="237"/>
      <c r="K20" s="237"/>
      <c r="L20" s="217"/>
      <c r="M20" s="217"/>
      <c r="N20" s="217"/>
      <c r="O20" s="217"/>
      <c r="P20" s="217"/>
      <c r="Q20" s="217"/>
      <c r="R20" s="217"/>
      <c r="S20" s="217"/>
      <c r="T20" s="217"/>
      <c r="U20" s="217"/>
      <c r="V20" s="217"/>
      <c r="W20" s="208"/>
      <c r="X20" s="200"/>
      <c r="Y20" s="200"/>
      <c r="Z20" s="200"/>
      <c r="AA20" s="200"/>
      <c r="AB20" s="200"/>
      <c r="AC20" s="200"/>
      <c r="AD20" s="200"/>
      <c r="AE20" s="200"/>
      <c r="AF20" s="200"/>
      <c r="AG20" s="200"/>
      <c r="AH20" s="200"/>
      <c r="AI20" s="200"/>
      <c r="AJ20" s="200"/>
      <c r="AK20" s="200"/>
      <c r="AL20" s="200"/>
      <c r="AM20" s="200"/>
      <c r="AN20" s="200"/>
    </row>
    <row r="21" spans="1:40" ht="15" customHeight="1" x14ac:dyDescent="0.2">
      <c r="A21" s="238" t="s">
        <v>381</v>
      </c>
      <c r="B21" s="238"/>
      <c r="C21" s="238"/>
      <c r="D21" s="238"/>
      <c r="E21" s="238"/>
      <c r="F21" s="238" t="s">
        <v>382</v>
      </c>
      <c r="G21" s="238"/>
      <c r="H21" s="238"/>
      <c r="I21" s="238"/>
      <c r="J21" s="238"/>
      <c r="K21" s="238"/>
      <c r="L21" s="217"/>
      <c r="M21" s="217"/>
      <c r="N21" s="217"/>
      <c r="O21" s="217"/>
      <c r="P21" s="217"/>
      <c r="Q21" s="217"/>
      <c r="R21" s="217"/>
      <c r="S21" s="217"/>
      <c r="T21" s="217"/>
      <c r="U21" s="217"/>
      <c r="V21" s="217"/>
      <c r="W21" s="208"/>
      <c r="X21" s="200"/>
      <c r="Y21" s="200"/>
      <c r="Z21" s="200"/>
      <c r="AA21" s="200"/>
      <c r="AB21" s="200"/>
      <c r="AC21" s="200"/>
      <c r="AD21" s="200"/>
      <c r="AE21" s="200"/>
      <c r="AF21" s="200"/>
      <c r="AG21" s="200"/>
      <c r="AH21" s="200"/>
      <c r="AI21" s="200"/>
      <c r="AJ21" s="200"/>
      <c r="AK21" s="200"/>
      <c r="AL21" s="200"/>
      <c r="AM21" s="200"/>
      <c r="AN21" s="200"/>
    </row>
    <row r="22" spans="1:40" ht="15" customHeight="1" x14ac:dyDescent="0.2">
      <c r="A22" s="238"/>
      <c r="B22" s="238"/>
      <c r="C22" s="238"/>
      <c r="D22" s="238"/>
      <c r="E22" s="238"/>
      <c r="F22" s="238"/>
      <c r="G22" s="238"/>
      <c r="H22" s="238"/>
      <c r="I22" s="238"/>
      <c r="J22" s="238"/>
      <c r="K22" s="238"/>
      <c r="L22" s="217"/>
      <c r="M22" s="217"/>
      <c r="N22" s="217"/>
      <c r="O22" s="217"/>
      <c r="P22" s="217"/>
      <c r="Q22" s="217"/>
      <c r="R22" s="217"/>
      <c r="S22" s="217"/>
      <c r="T22" s="217"/>
      <c r="U22" s="217"/>
      <c r="V22" s="217"/>
      <c r="W22" s="208"/>
      <c r="X22" s="200"/>
      <c r="Y22" s="200"/>
      <c r="Z22" s="200"/>
      <c r="AA22" s="200"/>
      <c r="AB22" s="200"/>
      <c r="AC22" s="200"/>
      <c r="AD22" s="200"/>
      <c r="AE22" s="200"/>
      <c r="AF22" s="200"/>
      <c r="AG22" s="200"/>
      <c r="AH22" s="200"/>
      <c r="AI22" s="200"/>
      <c r="AJ22" s="200"/>
      <c r="AK22" s="200"/>
      <c r="AL22" s="200"/>
      <c r="AM22" s="200"/>
      <c r="AN22" s="200"/>
    </row>
    <row r="23" spans="1:40" ht="15" customHeight="1" x14ac:dyDescent="0.2">
      <c r="A23" s="238" t="s">
        <v>383</v>
      </c>
      <c r="B23" s="238"/>
      <c r="C23" s="238"/>
      <c r="D23" s="238"/>
      <c r="E23" s="238"/>
      <c r="F23" s="238"/>
      <c r="G23" s="238"/>
      <c r="H23" s="238"/>
      <c r="I23" s="238"/>
      <c r="J23" s="238"/>
      <c r="K23" s="238"/>
      <c r="L23" s="217"/>
      <c r="M23" s="217"/>
      <c r="N23" s="217"/>
      <c r="O23" s="217"/>
      <c r="P23" s="217"/>
      <c r="Q23" s="217"/>
      <c r="R23" s="217"/>
      <c r="S23" s="217"/>
      <c r="T23" s="217"/>
      <c r="U23" s="217"/>
      <c r="V23" s="217"/>
      <c r="W23" s="208"/>
      <c r="X23" s="200"/>
      <c r="Y23" s="200"/>
      <c r="Z23" s="200"/>
      <c r="AA23" s="200"/>
      <c r="AB23" s="200"/>
      <c r="AC23" s="200"/>
      <c r="AD23" s="200"/>
      <c r="AE23" s="200"/>
      <c r="AF23" s="200"/>
      <c r="AG23" s="200"/>
      <c r="AH23" s="200"/>
      <c r="AI23" s="200"/>
      <c r="AJ23" s="200"/>
      <c r="AK23" s="200"/>
      <c r="AL23" s="200"/>
      <c r="AM23" s="200"/>
      <c r="AN23" s="200"/>
    </row>
    <row r="24" spans="1:40" ht="15" customHeight="1" x14ac:dyDescent="0.2">
      <c r="A24" s="238"/>
      <c r="B24" s="238"/>
      <c r="C24" s="238"/>
      <c r="D24" s="238"/>
      <c r="E24" s="238"/>
      <c r="F24" s="36"/>
      <c r="G24" s="36"/>
      <c r="H24" s="217"/>
      <c r="I24" s="217"/>
      <c r="J24" s="217"/>
      <c r="K24" s="217"/>
      <c r="L24" s="217"/>
      <c r="M24" s="217"/>
      <c r="N24" s="217"/>
      <c r="O24" s="217"/>
      <c r="P24" s="217"/>
      <c r="Q24" s="217"/>
      <c r="R24" s="217"/>
      <c r="S24" s="217"/>
      <c r="T24" s="217"/>
      <c r="U24" s="217"/>
      <c r="V24" s="217"/>
      <c r="W24" s="208"/>
      <c r="X24" s="200"/>
      <c r="Y24" s="200"/>
      <c r="Z24" s="200"/>
      <c r="AA24" s="200"/>
      <c r="AB24" s="200"/>
      <c r="AC24" s="200"/>
      <c r="AD24" s="200"/>
      <c r="AE24" s="200"/>
      <c r="AF24" s="200"/>
      <c r="AG24" s="200"/>
      <c r="AH24" s="200"/>
      <c r="AI24" s="200"/>
      <c r="AJ24" s="200"/>
      <c r="AK24" s="200"/>
      <c r="AL24" s="200"/>
      <c r="AM24" s="200"/>
      <c r="AN24" s="200"/>
    </row>
    <row r="25" spans="1:40" ht="15" customHeight="1" x14ac:dyDescent="0.2">
      <c r="A25" s="36"/>
      <c r="B25" s="234"/>
      <c r="C25" s="36"/>
      <c r="D25" s="36"/>
      <c r="E25" s="36"/>
      <c r="F25" s="36"/>
      <c r="G25" s="36"/>
      <c r="H25" s="217"/>
      <c r="I25" s="217"/>
      <c r="J25" s="217"/>
      <c r="K25" s="217"/>
      <c r="L25" s="217"/>
      <c r="M25" s="217"/>
      <c r="N25" s="217"/>
      <c r="O25" s="217"/>
      <c r="P25" s="217"/>
      <c r="Q25" s="217"/>
      <c r="R25" s="217"/>
      <c r="S25" s="217"/>
      <c r="T25" s="217"/>
      <c r="U25" s="217"/>
      <c r="V25" s="217"/>
      <c r="W25" s="208"/>
      <c r="X25" s="200"/>
      <c r="Y25" s="200"/>
      <c r="Z25" s="200"/>
      <c r="AA25" s="200"/>
      <c r="AB25" s="200"/>
      <c r="AC25" s="200"/>
      <c r="AD25" s="200"/>
      <c r="AE25" s="200"/>
      <c r="AF25" s="200"/>
      <c r="AG25" s="200"/>
      <c r="AH25" s="200"/>
      <c r="AI25" s="200"/>
      <c r="AJ25" s="200"/>
      <c r="AK25" s="200"/>
      <c r="AL25" s="200"/>
      <c r="AM25" s="200"/>
      <c r="AN25" s="200"/>
    </row>
    <row r="26" spans="1:40" ht="15" customHeight="1" x14ac:dyDescent="0.2">
      <c r="A26" s="36"/>
      <c r="B26" s="234"/>
      <c r="C26" s="36"/>
      <c r="D26" s="36"/>
      <c r="E26" s="36"/>
      <c r="F26" s="36"/>
      <c r="G26" s="36"/>
      <c r="H26" s="217"/>
      <c r="I26" s="217"/>
      <c r="J26" s="217"/>
      <c r="K26" s="217"/>
      <c r="L26" s="217"/>
      <c r="M26" s="217"/>
      <c r="N26" s="217"/>
      <c r="O26" s="217"/>
      <c r="P26" s="217"/>
      <c r="Q26" s="217"/>
      <c r="R26" s="217"/>
      <c r="S26" s="217"/>
      <c r="T26" s="217"/>
      <c r="U26" s="217"/>
      <c r="V26" s="217"/>
      <c r="W26" s="208"/>
      <c r="X26" s="200"/>
      <c r="Y26" s="200"/>
      <c r="Z26" s="200"/>
      <c r="AA26" s="200"/>
      <c r="AB26" s="200"/>
      <c r="AC26" s="200"/>
      <c r="AD26" s="200"/>
      <c r="AE26" s="200"/>
      <c r="AF26" s="200"/>
      <c r="AG26" s="200"/>
      <c r="AH26" s="200"/>
      <c r="AI26" s="200"/>
      <c r="AJ26" s="200"/>
      <c r="AK26" s="200"/>
      <c r="AL26" s="200"/>
      <c r="AM26" s="200"/>
      <c r="AN26" s="200"/>
    </row>
    <row r="27" spans="1:40" ht="15" customHeight="1" x14ac:dyDescent="0.2">
      <c r="A27" s="235" t="s">
        <v>384</v>
      </c>
      <c r="B27" s="235"/>
      <c r="C27" s="235"/>
      <c r="D27" s="235"/>
      <c r="E27" s="235"/>
      <c r="F27" s="227" t="s">
        <v>385</v>
      </c>
      <c r="G27" s="239"/>
      <c r="H27" s="217"/>
      <c r="I27" s="217"/>
      <c r="J27" s="217"/>
      <c r="K27" s="217"/>
      <c r="L27" s="217"/>
      <c r="M27" s="217"/>
      <c r="N27" s="217"/>
      <c r="O27" s="217"/>
      <c r="P27" s="217"/>
      <c r="Q27" s="217"/>
      <c r="R27" s="217"/>
      <c r="S27" s="217"/>
      <c r="T27" s="217"/>
      <c r="U27" s="217"/>
      <c r="V27" s="217"/>
      <c r="W27" s="208"/>
      <c r="X27" s="200"/>
      <c r="Y27" s="200"/>
      <c r="Z27" s="200"/>
      <c r="AA27" s="200"/>
      <c r="AB27" s="200"/>
      <c r="AC27" s="200"/>
      <c r="AD27" s="200"/>
      <c r="AE27" s="200"/>
      <c r="AF27" s="200"/>
      <c r="AG27" s="200"/>
      <c r="AH27" s="200"/>
      <c r="AI27" s="200"/>
      <c r="AJ27" s="200"/>
      <c r="AK27" s="200"/>
      <c r="AL27" s="200"/>
      <c r="AM27" s="200"/>
      <c r="AN27" s="200"/>
    </row>
    <row r="28" spans="1:40" ht="15" customHeight="1" x14ac:dyDescent="0.2">
      <c r="A28" s="240" t="s">
        <v>386</v>
      </c>
      <c r="B28" s="240"/>
      <c r="C28" s="240"/>
      <c r="D28" s="240"/>
      <c r="E28" s="240"/>
      <c r="F28" s="239"/>
      <c r="G28" s="239"/>
      <c r="H28" s="217"/>
      <c r="I28" s="217"/>
      <c r="J28" s="217"/>
      <c r="K28" s="217"/>
      <c r="L28" s="217"/>
      <c r="M28" s="217"/>
      <c r="N28" s="217"/>
      <c r="O28" s="217"/>
      <c r="P28" s="217"/>
      <c r="Q28" s="217"/>
      <c r="R28" s="217"/>
      <c r="S28" s="217"/>
      <c r="T28" s="217"/>
      <c r="U28" s="217"/>
      <c r="V28" s="217"/>
      <c r="W28" s="208"/>
      <c r="X28" s="200"/>
      <c r="Y28" s="200"/>
      <c r="Z28" s="200"/>
      <c r="AA28" s="200"/>
      <c r="AB28" s="200"/>
      <c r="AC28" s="200"/>
      <c r="AD28" s="200"/>
      <c r="AE28" s="200"/>
      <c r="AF28" s="200"/>
      <c r="AG28" s="200"/>
      <c r="AH28" s="200"/>
      <c r="AI28" s="200"/>
      <c r="AJ28" s="200"/>
      <c r="AK28" s="200"/>
      <c r="AL28" s="200"/>
      <c r="AM28" s="200"/>
      <c r="AN28" s="200"/>
    </row>
    <row r="29" spans="1:40" ht="15" customHeight="1" x14ac:dyDescent="0.2">
      <c r="A29" s="241"/>
      <c r="B29" s="241"/>
      <c r="C29" s="241"/>
      <c r="D29" s="241"/>
      <c r="E29" s="241"/>
      <c r="F29" s="239"/>
      <c r="G29" s="239"/>
      <c r="H29" s="217"/>
      <c r="I29" s="217"/>
      <c r="J29" s="217"/>
      <c r="K29" s="217"/>
      <c r="L29" s="217"/>
      <c r="M29" s="217"/>
      <c r="N29" s="217"/>
      <c r="O29" s="217"/>
      <c r="P29" s="217"/>
      <c r="Q29" s="217"/>
      <c r="R29" s="217"/>
      <c r="S29" s="217"/>
      <c r="T29" s="217"/>
      <c r="U29" s="217"/>
      <c r="V29" s="217"/>
      <c r="W29" s="208"/>
      <c r="X29" s="200"/>
      <c r="Y29" s="200"/>
      <c r="Z29" s="200"/>
      <c r="AA29" s="200"/>
      <c r="AB29" s="200"/>
      <c r="AC29" s="200"/>
      <c r="AD29" s="200"/>
      <c r="AE29" s="200"/>
      <c r="AF29" s="200"/>
      <c r="AG29" s="200"/>
      <c r="AH29" s="200"/>
      <c r="AI29" s="200"/>
      <c r="AJ29" s="200"/>
      <c r="AK29" s="200"/>
      <c r="AL29" s="200"/>
      <c r="AM29" s="200"/>
      <c r="AN29" s="200"/>
    </row>
    <row r="30" spans="1:40" ht="15" customHeight="1" x14ac:dyDescent="0.2">
      <c r="A30" s="241"/>
      <c r="B30" s="241"/>
      <c r="C30" s="241"/>
      <c r="D30" s="241"/>
      <c r="E30" s="241"/>
      <c r="F30" s="239"/>
      <c r="G30" s="239"/>
      <c r="H30" s="217"/>
      <c r="I30" s="217"/>
      <c r="J30" s="217"/>
      <c r="K30" s="217"/>
      <c r="L30" s="217"/>
      <c r="M30" s="217"/>
      <c r="N30" s="217"/>
      <c r="O30" s="217"/>
      <c r="P30" s="217"/>
      <c r="Q30" s="217"/>
      <c r="R30" s="217"/>
      <c r="S30" s="217"/>
      <c r="T30" s="217"/>
      <c r="U30" s="217"/>
      <c r="V30" s="217"/>
      <c r="W30" s="208"/>
      <c r="X30" s="200"/>
      <c r="Y30" s="200"/>
      <c r="Z30" s="200"/>
      <c r="AA30" s="200"/>
      <c r="AB30" s="200"/>
      <c r="AC30" s="200"/>
      <c r="AD30" s="200"/>
      <c r="AE30" s="200"/>
      <c r="AF30" s="200"/>
      <c r="AG30" s="200"/>
      <c r="AH30" s="200"/>
      <c r="AI30" s="200"/>
      <c r="AJ30" s="200"/>
      <c r="AK30" s="200"/>
      <c r="AL30" s="200"/>
      <c r="AM30" s="200"/>
      <c r="AN30" s="200"/>
    </row>
    <row r="31" spans="1:40" ht="15" customHeight="1" x14ac:dyDescent="0.2">
      <c r="A31" s="241"/>
      <c r="B31" s="241"/>
      <c r="C31" s="241"/>
      <c r="D31" s="241"/>
      <c r="E31" s="241"/>
      <c r="F31" s="239"/>
      <c r="G31" s="239"/>
      <c r="H31" s="217"/>
      <c r="I31" s="217"/>
      <c r="J31" s="217"/>
      <c r="K31" s="217"/>
      <c r="L31" s="217"/>
      <c r="M31" s="217"/>
      <c r="N31" s="217"/>
      <c r="O31" s="217"/>
      <c r="P31" s="217"/>
      <c r="Q31" s="217"/>
      <c r="R31" s="217"/>
      <c r="S31" s="217"/>
      <c r="T31" s="217"/>
      <c r="U31" s="217"/>
      <c r="V31" s="217"/>
      <c r="W31" s="208"/>
      <c r="X31" s="200"/>
      <c r="Y31" s="200"/>
      <c r="Z31" s="200"/>
      <c r="AA31" s="200"/>
      <c r="AB31" s="200"/>
      <c r="AC31" s="200"/>
      <c r="AD31" s="200"/>
      <c r="AE31" s="200"/>
      <c r="AF31" s="200"/>
      <c r="AG31" s="200"/>
      <c r="AH31" s="200"/>
      <c r="AI31" s="200"/>
      <c r="AJ31" s="200"/>
      <c r="AK31" s="200"/>
      <c r="AL31" s="200"/>
      <c r="AM31" s="200"/>
      <c r="AN31" s="200"/>
    </row>
    <row r="32" spans="1:40" ht="15" customHeight="1" x14ac:dyDescent="0.2">
      <c r="A32" s="241"/>
      <c r="B32" s="241"/>
      <c r="C32" s="241"/>
      <c r="D32" s="241"/>
      <c r="E32" s="241"/>
      <c r="F32" s="239"/>
      <c r="G32" s="239"/>
      <c r="H32" s="217"/>
      <c r="I32" s="217"/>
      <c r="J32" s="217"/>
      <c r="K32" s="217"/>
      <c r="L32" s="217"/>
      <c r="M32" s="217"/>
      <c r="N32" s="217"/>
      <c r="O32" s="217"/>
      <c r="P32" s="217"/>
      <c r="Q32" s="217"/>
      <c r="R32" s="217"/>
      <c r="S32" s="217"/>
      <c r="T32" s="217"/>
      <c r="U32" s="217"/>
      <c r="V32" s="217"/>
      <c r="W32" s="208"/>
      <c r="X32" s="200"/>
      <c r="Y32" s="200"/>
      <c r="Z32" s="200"/>
      <c r="AA32" s="200"/>
      <c r="AB32" s="200"/>
      <c r="AC32" s="200"/>
      <c r="AD32" s="200"/>
      <c r="AE32" s="200"/>
      <c r="AF32" s="200"/>
      <c r="AG32" s="200"/>
      <c r="AH32" s="200"/>
      <c r="AI32" s="200"/>
      <c r="AJ32" s="200"/>
      <c r="AK32" s="200"/>
      <c r="AL32" s="200"/>
      <c r="AM32" s="200"/>
      <c r="AN32" s="200"/>
    </row>
    <row r="33" spans="1:40" ht="15" customHeight="1" x14ac:dyDescent="0.2">
      <c r="A33" s="241"/>
      <c r="B33" s="241"/>
      <c r="C33" s="241"/>
      <c r="D33" s="241"/>
      <c r="E33" s="241"/>
      <c r="F33" s="239"/>
      <c r="G33" s="239"/>
      <c r="H33" s="217"/>
      <c r="I33" s="217"/>
      <c r="J33" s="217"/>
      <c r="K33" s="217"/>
      <c r="L33" s="217"/>
      <c r="M33" s="217"/>
      <c r="N33" s="217"/>
      <c r="O33" s="217"/>
      <c r="P33" s="217"/>
      <c r="Q33" s="217"/>
      <c r="R33" s="217"/>
      <c r="S33" s="217"/>
      <c r="T33" s="217"/>
      <c r="U33" s="217"/>
      <c r="V33" s="217"/>
      <c r="W33" s="208"/>
      <c r="X33" s="200"/>
      <c r="Y33" s="200"/>
      <c r="Z33" s="200"/>
      <c r="AA33" s="200"/>
      <c r="AB33" s="200"/>
      <c r="AC33" s="200"/>
      <c r="AD33" s="200"/>
      <c r="AE33" s="200"/>
      <c r="AF33" s="200"/>
      <c r="AG33" s="200"/>
      <c r="AH33" s="200"/>
      <c r="AI33" s="200"/>
      <c r="AJ33" s="200"/>
      <c r="AK33" s="200"/>
      <c r="AL33" s="200"/>
      <c r="AM33" s="200"/>
      <c r="AN33" s="200"/>
    </row>
    <row r="34" spans="1:40" ht="15" customHeight="1" x14ac:dyDescent="0.2">
      <c r="A34" s="241"/>
      <c r="B34" s="241"/>
      <c r="C34" s="241"/>
      <c r="D34" s="241"/>
      <c r="E34" s="241"/>
      <c r="F34" s="239"/>
      <c r="G34" s="239"/>
      <c r="H34" s="217"/>
      <c r="I34" s="217"/>
      <c r="J34" s="217"/>
      <c r="K34" s="217"/>
      <c r="L34" s="217"/>
      <c r="M34" s="217"/>
      <c r="N34" s="217"/>
      <c r="O34" s="217"/>
      <c r="P34" s="217"/>
      <c r="Q34" s="217"/>
      <c r="R34" s="217"/>
      <c r="S34" s="217"/>
      <c r="T34" s="217"/>
      <c r="U34" s="217"/>
      <c r="V34" s="217"/>
      <c r="W34" s="208"/>
      <c r="X34" s="200"/>
      <c r="Y34" s="200"/>
      <c r="Z34" s="200"/>
      <c r="AA34" s="200"/>
      <c r="AB34" s="200"/>
      <c r="AC34" s="200"/>
      <c r="AD34" s="200"/>
      <c r="AE34" s="200"/>
      <c r="AF34" s="200"/>
      <c r="AG34" s="200"/>
      <c r="AH34" s="200"/>
      <c r="AI34" s="200"/>
      <c r="AJ34" s="200"/>
      <c r="AK34" s="200"/>
      <c r="AL34" s="200"/>
      <c r="AM34" s="200"/>
      <c r="AN34" s="200"/>
    </row>
    <row r="35" spans="1:40" ht="15" customHeight="1" x14ac:dyDescent="0.2">
      <c r="A35" s="241"/>
      <c r="B35" s="241"/>
      <c r="C35" s="241"/>
      <c r="D35" s="241"/>
      <c r="E35" s="241"/>
      <c r="F35" s="239"/>
      <c r="G35" s="215"/>
      <c r="H35" s="217"/>
      <c r="I35" s="217"/>
      <c r="J35" s="217"/>
      <c r="K35" s="217"/>
      <c r="L35" s="217"/>
      <c r="M35" s="217"/>
      <c r="N35" s="217"/>
      <c r="O35" s="217"/>
      <c r="P35" s="217"/>
      <c r="Q35" s="217"/>
      <c r="R35" s="217"/>
      <c r="S35" s="217"/>
      <c r="T35" s="217"/>
      <c r="U35" s="217"/>
      <c r="V35" s="217"/>
      <c r="W35" s="208"/>
      <c r="X35" s="200"/>
      <c r="Y35" s="200"/>
      <c r="Z35" s="200"/>
      <c r="AA35" s="200"/>
      <c r="AB35" s="200"/>
      <c r="AC35" s="200"/>
      <c r="AD35" s="200"/>
      <c r="AE35" s="200"/>
      <c r="AF35" s="200"/>
      <c r="AG35" s="200"/>
      <c r="AH35" s="200"/>
      <c r="AI35" s="200"/>
      <c r="AJ35" s="200"/>
      <c r="AK35" s="200"/>
      <c r="AL35" s="200"/>
      <c r="AM35" s="200"/>
      <c r="AN35" s="200"/>
    </row>
    <row r="36" spans="1:40" ht="15" customHeight="1" x14ac:dyDescent="0.3">
      <c r="A36" s="242"/>
      <c r="B36" s="243"/>
      <c r="C36" s="244"/>
      <c r="D36" s="245"/>
      <c r="E36" s="215"/>
      <c r="F36" s="215"/>
      <c r="G36" s="36"/>
      <c r="H36" s="246"/>
      <c r="I36" s="208"/>
      <c r="J36" s="208"/>
      <c r="K36" s="208"/>
      <c r="L36" s="208"/>
      <c r="M36" s="208"/>
      <c r="N36" s="208"/>
      <c r="O36" s="217"/>
      <c r="P36" s="217"/>
      <c r="Q36" s="217"/>
      <c r="R36" s="217"/>
      <c r="S36" s="217"/>
      <c r="T36" s="217"/>
      <c r="U36" s="217"/>
      <c r="V36" s="217"/>
      <c r="W36" s="208"/>
      <c r="X36" s="200"/>
      <c r="Y36" s="200"/>
      <c r="Z36" s="200"/>
      <c r="AA36" s="200"/>
      <c r="AB36" s="200"/>
      <c r="AC36" s="200"/>
      <c r="AD36" s="200"/>
      <c r="AE36" s="200"/>
      <c r="AF36" s="200"/>
      <c r="AG36" s="200"/>
      <c r="AH36" s="200"/>
      <c r="AI36" s="200"/>
      <c r="AJ36" s="200"/>
      <c r="AK36" s="200"/>
      <c r="AL36" s="200"/>
      <c r="AM36" s="200"/>
      <c r="AN36" s="200"/>
    </row>
    <row r="37" spans="1:40" ht="15" customHeight="1" x14ac:dyDescent="0.3">
      <c r="A37" s="235" t="s">
        <v>387</v>
      </c>
      <c r="B37" s="235"/>
      <c r="C37" s="235"/>
      <c r="D37" s="235"/>
      <c r="E37" s="235"/>
      <c r="F37" s="227" t="s">
        <v>385</v>
      </c>
      <c r="G37" s="239"/>
      <c r="H37" s="247"/>
      <c r="I37" s="208"/>
      <c r="J37" s="208"/>
      <c r="K37" s="208"/>
      <c r="L37" s="208"/>
      <c r="M37" s="208"/>
      <c r="N37" s="208"/>
      <c r="O37" s="208"/>
      <c r="P37" s="208"/>
      <c r="Q37" s="208"/>
      <c r="R37" s="208"/>
      <c r="S37" s="208"/>
      <c r="T37" s="208"/>
      <c r="U37" s="208"/>
      <c r="V37" s="208"/>
      <c r="W37" s="208"/>
      <c r="X37" s="200"/>
      <c r="Y37" s="200"/>
      <c r="Z37" s="200"/>
      <c r="AA37" s="200"/>
      <c r="AB37" s="200"/>
      <c r="AC37" s="200"/>
      <c r="AD37" s="200"/>
      <c r="AE37" s="200"/>
      <c r="AF37" s="200"/>
      <c r="AG37" s="200"/>
      <c r="AH37" s="200"/>
      <c r="AI37" s="200"/>
      <c r="AJ37" s="200"/>
      <c r="AK37" s="200"/>
      <c r="AL37" s="200"/>
      <c r="AM37" s="200"/>
      <c r="AN37" s="200"/>
    </row>
    <row r="38" spans="1:40" ht="15" customHeight="1" x14ac:dyDescent="0.2">
      <c r="A38" s="240" t="s">
        <v>388</v>
      </c>
      <c r="B38" s="240"/>
      <c r="C38" s="240"/>
      <c r="D38" s="240"/>
      <c r="E38" s="240"/>
      <c r="F38" s="239"/>
      <c r="G38" s="239"/>
      <c r="H38" s="217"/>
      <c r="I38" s="217"/>
      <c r="J38" s="217"/>
      <c r="K38" s="217"/>
      <c r="L38" s="217"/>
      <c r="M38" s="217"/>
      <c r="N38" s="217"/>
      <c r="O38" s="208"/>
      <c r="P38" s="208"/>
      <c r="Q38" s="208"/>
      <c r="R38" s="208"/>
      <c r="S38" s="208"/>
      <c r="T38" s="208"/>
      <c r="U38" s="208"/>
      <c r="V38" s="208"/>
      <c r="W38" s="208"/>
      <c r="X38" s="200"/>
      <c r="Y38" s="200"/>
      <c r="Z38" s="200"/>
      <c r="AA38" s="200"/>
      <c r="AB38" s="200"/>
      <c r="AC38" s="200"/>
      <c r="AD38" s="200"/>
      <c r="AE38" s="200"/>
      <c r="AF38" s="200"/>
      <c r="AG38" s="200"/>
      <c r="AH38" s="200"/>
      <c r="AI38" s="200"/>
      <c r="AJ38" s="200"/>
      <c r="AK38" s="200"/>
      <c r="AL38" s="200"/>
      <c r="AM38" s="200"/>
      <c r="AN38" s="200"/>
    </row>
    <row r="39" spans="1:40" ht="15" customHeight="1" x14ac:dyDescent="0.2">
      <c r="A39" s="241"/>
      <c r="B39" s="241"/>
      <c r="C39" s="241"/>
      <c r="D39" s="241"/>
      <c r="E39" s="241"/>
      <c r="F39" s="239"/>
      <c r="G39" s="239"/>
      <c r="H39" s="217"/>
      <c r="I39" s="217"/>
      <c r="J39" s="217"/>
      <c r="K39" s="217"/>
      <c r="L39" s="217"/>
      <c r="M39" s="217"/>
      <c r="N39" s="217"/>
      <c r="O39" s="217"/>
      <c r="P39" s="217"/>
      <c r="Q39" s="217"/>
      <c r="R39" s="217"/>
      <c r="S39" s="217"/>
      <c r="T39" s="217"/>
      <c r="U39" s="217"/>
      <c r="V39" s="217"/>
      <c r="W39" s="208"/>
      <c r="X39" s="200"/>
      <c r="Y39" s="200"/>
      <c r="Z39" s="200"/>
      <c r="AA39" s="200"/>
      <c r="AB39" s="200"/>
      <c r="AC39" s="200"/>
      <c r="AD39" s="200"/>
      <c r="AE39" s="200"/>
      <c r="AF39" s="200"/>
      <c r="AG39" s="200"/>
      <c r="AH39" s="200"/>
      <c r="AI39" s="200"/>
      <c r="AJ39" s="200"/>
      <c r="AK39" s="200"/>
      <c r="AL39" s="200"/>
      <c r="AM39" s="200"/>
      <c r="AN39" s="200"/>
    </row>
    <row r="40" spans="1:40" ht="15" customHeight="1" x14ac:dyDescent="0.2">
      <c r="A40" s="241"/>
      <c r="B40" s="241"/>
      <c r="C40" s="241"/>
      <c r="D40" s="241"/>
      <c r="E40" s="241"/>
      <c r="F40" s="239"/>
      <c r="H40" s="217"/>
      <c r="I40" s="217"/>
      <c r="J40" s="217"/>
      <c r="K40" s="217"/>
      <c r="L40" s="217"/>
      <c r="M40" s="217"/>
      <c r="N40" s="217"/>
      <c r="O40" s="217"/>
      <c r="P40" s="217"/>
      <c r="Q40" s="217"/>
      <c r="R40" s="217"/>
      <c r="S40" s="217"/>
      <c r="T40" s="217"/>
      <c r="U40" s="217"/>
      <c r="V40" s="217"/>
      <c r="W40" s="208"/>
      <c r="X40" s="200"/>
      <c r="Y40" s="200"/>
      <c r="Z40" s="200"/>
      <c r="AA40" s="200"/>
      <c r="AB40" s="200"/>
      <c r="AC40" s="200"/>
      <c r="AD40" s="200"/>
      <c r="AE40" s="200"/>
      <c r="AF40" s="200"/>
      <c r="AG40" s="200"/>
      <c r="AH40" s="200"/>
      <c r="AI40" s="200"/>
      <c r="AJ40" s="200"/>
      <c r="AK40" s="200"/>
      <c r="AL40" s="200"/>
      <c r="AM40" s="200"/>
      <c r="AN40" s="200"/>
    </row>
    <row r="41" spans="1:40" ht="12.75" customHeight="1" x14ac:dyDescent="0.2">
      <c r="A41" s="242"/>
      <c r="G41" s="36"/>
      <c r="H41" s="217"/>
      <c r="I41" s="217"/>
      <c r="J41" s="217"/>
      <c r="K41" s="217"/>
      <c r="L41" s="217"/>
      <c r="M41" s="217"/>
      <c r="N41" s="217"/>
      <c r="O41" s="217"/>
      <c r="P41" s="217"/>
      <c r="Q41" s="217"/>
      <c r="R41" s="217"/>
      <c r="S41" s="217"/>
      <c r="T41" s="217"/>
      <c r="U41" s="217"/>
      <c r="V41" s="217"/>
      <c r="W41" s="208"/>
      <c r="X41" s="200"/>
      <c r="Y41" s="200"/>
      <c r="Z41" s="200"/>
      <c r="AA41" s="200"/>
      <c r="AB41" s="200"/>
      <c r="AC41" s="200"/>
      <c r="AD41" s="200"/>
      <c r="AE41" s="200"/>
      <c r="AF41" s="200"/>
      <c r="AG41" s="200"/>
      <c r="AH41" s="200"/>
      <c r="AI41" s="200"/>
      <c r="AJ41" s="200"/>
      <c r="AK41" s="200"/>
      <c r="AL41" s="200"/>
      <c r="AM41" s="200"/>
      <c r="AN41" s="200"/>
    </row>
    <row r="42" spans="1:40" ht="15" customHeight="1" x14ac:dyDescent="0.2">
      <c r="A42" s="235" t="s">
        <v>389</v>
      </c>
      <c r="B42" s="235"/>
      <c r="C42" s="235"/>
      <c r="D42" s="235"/>
      <c r="E42" s="235"/>
      <c r="F42" s="227" t="s">
        <v>385</v>
      </c>
      <c r="G42" s="239"/>
      <c r="H42" s="217"/>
      <c r="I42" s="217"/>
      <c r="J42" s="217"/>
      <c r="K42" s="217"/>
      <c r="L42" s="217"/>
      <c r="M42" s="217"/>
      <c r="N42" s="217"/>
      <c r="O42" s="217"/>
      <c r="P42" s="217"/>
      <c r="Q42" s="217"/>
      <c r="R42" s="217"/>
      <c r="S42" s="217"/>
      <c r="T42" s="217"/>
      <c r="U42" s="217"/>
      <c r="V42" s="217"/>
      <c r="W42" s="208"/>
      <c r="X42" s="200"/>
      <c r="Y42" s="200"/>
      <c r="Z42" s="200"/>
      <c r="AA42" s="200"/>
      <c r="AB42" s="200"/>
      <c r="AC42" s="200"/>
      <c r="AD42" s="200"/>
      <c r="AE42" s="200"/>
      <c r="AF42" s="200"/>
      <c r="AG42" s="200"/>
      <c r="AH42" s="200"/>
      <c r="AI42" s="200"/>
      <c r="AJ42" s="200"/>
      <c r="AK42" s="200"/>
      <c r="AL42" s="200"/>
      <c r="AM42" s="200"/>
      <c r="AN42" s="200"/>
    </row>
    <row r="43" spans="1:40" ht="15" customHeight="1" x14ac:dyDescent="0.2">
      <c r="A43" s="240" t="s">
        <v>390</v>
      </c>
      <c r="B43" s="240"/>
      <c r="C43" s="240"/>
      <c r="D43" s="240"/>
      <c r="E43" s="240"/>
      <c r="F43" s="239"/>
      <c r="G43" s="239"/>
      <c r="H43" s="217"/>
      <c r="I43" s="217"/>
      <c r="J43" s="217"/>
      <c r="K43" s="217"/>
      <c r="L43" s="217"/>
      <c r="M43" s="217"/>
      <c r="N43" s="217"/>
      <c r="O43" s="217"/>
      <c r="P43" s="217"/>
      <c r="Q43" s="217"/>
      <c r="R43" s="217"/>
      <c r="S43" s="217"/>
      <c r="T43" s="217"/>
      <c r="U43" s="217"/>
      <c r="V43" s="217"/>
      <c r="W43" s="208"/>
      <c r="X43" s="200"/>
      <c r="Y43" s="200"/>
      <c r="Z43" s="200"/>
      <c r="AA43" s="200"/>
      <c r="AB43" s="200"/>
      <c r="AC43" s="200"/>
      <c r="AD43" s="200"/>
      <c r="AE43" s="200"/>
      <c r="AF43" s="200"/>
      <c r="AG43" s="200"/>
      <c r="AH43" s="200"/>
      <c r="AI43" s="200"/>
      <c r="AJ43" s="200"/>
      <c r="AK43" s="200"/>
      <c r="AL43" s="200"/>
      <c r="AM43" s="200"/>
      <c r="AN43" s="200"/>
    </row>
    <row r="44" spans="1:40" ht="15" customHeight="1" x14ac:dyDescent="0.2">
      <c r="A44" s="241"/>
      <c r="B44" s="241"/>
      <c r="C44" s="241"/>
      <c r="D44" s="241"/>
      <c r="E44" s="241"/>
      <c r="F44" s="239"/>
      <c r="G44" s="239"/>
      <c r="H44" s="217"/>
      <c r="I44" s="217"/>
      <c r="J44" s="217"/>
      <c r="K44" s="217"/>
      <c r="L44" s="217"/>
      <c r="M44" s="217"/>
      <c r="N44" s="217"/>
      <c r="O44" s="217"/>
      <c r="P44" s="217"/>
      <c r="Q44" s="217"/>
      <c r="R44" s="217"/>
      <c r="S44" s="217"/>
      <c r="T44" s="217"/>
      <c r="U44" s="217"/>
      <c r="V44" s="217"/>
      <c r="W44" s="208"/>
      <c r="X44" s="200"/>
      <c r="Y44" s="200"/>
      <c r="Z44" s="200"/>
      <c r="AA44" s="200"/>
      <c r="AB44" s="200"/>
      <c r="AC44" s="200"/>
      <c r="AD44" s="200"/>
      <c r="AE44" s="200"/>
      <c r="AF44" s="200"/>
      <c r="AG44" s="200"/>
      <c r="AH44" s="200"/>
      <c r="AI44" s="200"/>
      <c r="AJ44" s="200"/>
      <c r="AK44" s="200"/>
      <c r="AL44" s="200"/>
      <c r="AM44" s="200"/>
      <c r="AN44" s="200"/>
    </row>
    <row r="45" spans="1:40" ht="15" customHeight="1" x14ac:dyDescent="0.2">
      <c r="A45" s="241"/>
      <c r="B45" s="241"/>
      <c r="C45" s="241"/>
      <c r="D45" s="241"/>
      <c r="E45" s="241"/>
      <c r="F45" s="239"/>
      <c r="H45" s="217"/>
      <c r="I45" s="217"/>
      <c r="J45" s="217"/>
      <c r="K45" s="217"/>
      <c r="L45" s="217"/>
      <c r="M45" s="217"/>
      <c r="N45" s="217"/>
      <c r="O45" s="217"/>
      <c r="P45" s="217"/>
      <c r="Q45" s="217"/>
      <c r="R45" s="217"/>
      <c r="S45" s="217"/>
      <c r="T45" s="217"/>
      <c r="U45" s="217"/>
      <c r="V45" s="217"/>
      <c r="W45" s="208"/>
      <c r="X45" s="200"/>
      <c r="Y45" s="200"/>
      <c r="Z45" s="200"/>
      <c r="AA45" s="200"/>
      <c r="AB45" s="200"/>
      <c r="AC45" s="200"/>
      <c r="AD45" s="200"/>
      <c r="AE45" s="200"/>
      <c r="AF45" s="200"/>
      <c r="AG45" s="200"/>
      <c r="AH45" s="200"/>
      <c r="AI45" s="200"/>
      <c r="AJ45" s="200"/>
      <c r="AK45" s="200"/>
      <c r="AL45" s="200"/>
      <c r="AM45" s="200"/>
      <c r="AN45" s="200"/>
    </row>
    <row r="46" spans="1:40" ht="15" customHeight="1" x14ac:dyDescent="0.2">
      <c r="A46" s="242"/>
      <c r="G46" s="36"/>
      <c r="H46" s="217"/>
      <c r="I46" s="217"/>
      <c r="J46" s="217"/>
      <c r="K46" s="217"/>
      <c r="L46" s="217"/>
      <c r="M46" s="217"/>
      <c r="N46" s="217"/>
      <c r="O46" s="217"/>
      <c r="P46" s="217"/>
      <c r="Q46" s="217"/>
      <c r="R46" s="217"/>
      <c r="S46" s="217"/>
      <c r="T46" s="217"/>
      <c r="U46" s="217"/>
      <c r="V46" s="217"/>
      <c r="W46" s="208"/>
      <c r="X46" s="200"/>
      <c r="Y46" s="200"/>
      <c r="Z46" s="200"/>
      <c r="AA46" s="200"/>
      <c r="AB46" s="200"/>
      <c r="AC46" s="200"/>
      <c r="AD46" s="200"/>
      <c r="AE46" s="200"/>
      <c r="AF46" s="200"/>
      <c r="AG46" s="200"/>
      <c r="AH46" s="200"/>
      <c r="AI46" s="200"/>
      <c r="AJ46" s="200"/>
      <c r="AK46" s="200"/>
      <c r="AL46" s="200"/>
      <c r="AM46" s="200"/>
      <c r="AN46" s="200"/>
    </row>
    <row r="47" spans="1:40" ht="15" customHeight="1" x14ac:dyDescent="0.2">
      <c r="A47" s="235" t="s">
        <v>391</v>
      </c>
      <c r="B47" s="235"/>
      <c r="C47" s="235"/>
      <c r="D47" s="235"/>
      <c r="E47" s="235"/>
      <c r="F47" s="227" t="s">
        <v>385</v>
      </c>
      <c r="G47" s="239"/>
      <c r="H47" s="217"/>
      <c r="I47" s="217"/>
      <c r="J47" s="217"/>
      <c r="K47" s="217"/>
      <c r="L47" s="217"/>
      <c r="M47" s="217"/>
      <c r="N47" s="217"/>
      <c r="O47" s="217"/>
      <c r="P47" s="217"/>
      <c r="Q47" s="217"/>
      <c r="R47" s="217"/>
      <c r="S47" s="217"/>
      <c r="T47" s="217"/>
      <c r="U47" s="217"/>
      <c r="V47" s="217"/>
      <c r="W47" s="208"/>
      <c r="X47" s="200"/>
      <c r="Y47" s="200"/>
      <c r="Z47" s="200"/>
      <c r="AA47" s="200"/>
      <c r="AB47" s="200"/>
      <c r="AC47" s="200"/>
      <c r="AD47" s="200"/>
      <c r="AE47" s="200"/>
      <c r="AF47" s="200"/>
      <c r="AG47" s="200"/>
      <c r="AH47" s="200"/>
      <c r="AI47" s="200"/>
      <c r="AJ47" s="200"/>
      <c r="AK47" s="200"/>
      <c r="AL47" s="200"/>
      <c r="AM47" s="200"/>
      <c r="AN47" s="200"/>
    </row>
    <row r="48" spans="1:40" ht="15" customHeight="1" x14ac:dyDescent="0.2">
      <c r="A48" s="240" t="s">
        <v>392</v>
      </c>
      <c r="B48" s="240"/>
      <c r="C48" s="240"/>
      <c r="D48" s="240"/>
      <c r="E48" s="240"/>
      <c r="F48" s="239"/>
      <c r="G48" s="239"/>
      <c r="H48" s="217"/>
      <c r="I48" s="217"/>
      <c r="J48" s="217"/>
      <c r="K48" s="217"/>
      <c r="L48" s="217"/>
      <c r="M48" s="217"/>
      <c r="N48" s="217"/>
      <c r="O48" s="217"/>
      <c r="P48" s="217"/>
      <c r="Q48" s="217"/>
      <c r="R48" s="217"/>
      <c r="S48" s="217"/>
      <c r="T48" s="217"/>
      <c r="U48" s="217"/>
      <c r="V48" s="217"/>
      <c r="W48" s="208"/>
      <c r="X48" s="200"/>
      <c r="Y48" s="200"/>
      <c r="Z48" s="200"/>
      <c r="AA48" s="200"/>
      <c r="AB48" s="200"/>
      <c r="AC48" s="200"/>
      <c r="AD48" s="200"/>
      <c r="AE48" s="200"/>
      <c r="AF48" s="200"/>
      <c r="AG48" s="200"/>
      <c r="AH48" s="200"/>
      <c r="AI48" s="200"/>
      <c r="AJ48" s="200"/>
      <c r="AK48" s="200"/>
      <c r="AL48" s="200"/>
      <c r="AM48" s="200"/>
      <c r="AN48" s="200"/>
    </row>
    <row r="49" spans="1:40" ht="15" customHeight="1" x14ac:dyDescent="0.2">
      <c r="A49" s="241"/>
      <c r="B49" s="241"/>
      <c r="C49" s="241"/>
      <c r="D49" s="241"/>
      <c r="E49" s="241"/>
      <c r="F49" s="239"/>
      <c r="G49" s="239"/>
      <c r="H49" s="217"/>
      <c r="I49" s="217"/>
      <c r="J49" s="217"/>
      <c r="K49" s="217"/>
      <c r="L49" s="217"/>
      <c r="M49" s="217"/>
      <c r="N49" s="217"/>
      <c r="O49" s="217"/>
      <c r="P49" s="217"/>
      <c r="Q49" s="217"/>
      <c r="R49" s="217"/>
      <c r="S49" s="217"/>
      <c r="T49" s="217"/>
      <c r="U49" s="217"/>
      <c r="V49" s="217"/>
      <c r="W49" s="208"/>
      <c r="X49" s="200"/>
      <c r="Y49" s="200"/>
      <c r="Z49" s="200"/>
      <c r="AA49" s="200"/>
      <c r="AB49" s="200"/>
      <c r="AC49" s="200"/>
      <c r="AD49" s="200"/>
      <c r="AE49" s="200"/>
      <c r="AF49" s="200"/>
      <c r="AG49" s="200"/>
      <c r="AH49" s="200"/>
      <c r="AI49" s="200"/>
      <c r="AJ49" s="200"/>
      <c r="AK49" s="200"/>
      <c r="AL49" s="200"/>
      <c r="AM49" s="200"/>
      <c r="AN49" s="200"/>
    </row>
    <row r="50" spans="1:40" ht="15" customHeight="1" x14ac:dyDescent="0.2">
      <c r="A50" s="241"/>
      <c r="B50" s="241"/>
      <c r="C50" s="241"/>
      <c r="D50" s="241"/>
      <c r="E50" s="241"/>
      <c r="F50" s="239"/>
      <c r="G50" s="239"/>
      <c r="H50" s="217"/>
      <c r="I50" s="217"/>
      <c r="J50" s="217"/>
      <c r="K50" s="217"/>
      <c r="L50" s="217"/>
      <c r="M50" s="217"/>
      <c r="N50" s="217"/>
      <c r="O50" s="217"/>
      <c r="P50" s="217"/>
      <c r="Q50" s="217"/>
      <c r="R50" s="217"/>
      <c r="S50" s="217"/>
      <c r="T50" s="217"/>
      <c r="U50" s="217"/>
      <c r="V50" s="217"/>
      <c r="W50" s="208"/>
      <c r="X50" s="200"/>
      <c r="Y50" s="200"/>
      <c r="Z50" s="200"/>
      <c r="AA50" s="200"/>
      <c r="AB50" s="200"/>
      <c r="AC50" s="200"/>
      <c r="AD50" s="200"/>
      <c r="AE50" s="200"/>
      <c r="AF50" s="200"/>
      <c r="AG50" s="200"/>
      <c r="AH50" s="200"/>
      <c r="AI50" s="200"/>
      <c r="AJ50" s="200"/>
      <c r="AK50" s="200"/>
      <c r="AL50" s="200"/>
      <c r="AM50" s="200"/>
      <c r="AN50" s="200"/>
    </row>
    <row r="51" spans="1:40" ht="15" customHeight="1" x14ac:dyDescent="0.2">
      <c r="A51" s="241"/>
      <c r="B51" s="241"/>
      <c r="C51" s="241"/>
      <c r="D51" s="241"/>
      <c r="E51" s="241"/>
      <c r="F51" s="239"/>
      <c r="G51" s="239"/>
      <c r="H51" s="217"/>
      <c r="I51" s="217"/>
      <c r="J51" s="217"/>
      <c r="K51" s="217"/>
      <c r="L51" s="217"/>
      <c r="M51" s="217"/>
      <c r="N51" s="217"/>
      <c r="O51" s="217"/>
      <c r="P51" s="217"/>
      <c r="Q51" s="217"/>
      <c r="R51" s="217"/>
      <c r="S51" s="217"/>
      <c r="T51" s="217"/>
      <c r="U51" s="217"/>
      <c r="V51" s="217"/>
      <c r="W51" s="208"/>
      <c r="X51" s="200"/>
      <c r="Y51" s="200"/>
      <c r="Z51" s="200"/>
      <c r="AA51" s="200"/>
      <c r="AB51" s="200"/>
      <c r="AC51" s="200"/>
      <c r="AD51" s="200"/>
      <c r="AE51" s="200"/>
      <c r="AF51" s="200"/>
      <c r="AG51" s="200"/>
      <c r="AH51" s="200"/>
      <c r="AI51" s="200"/>
      <c r="AJ51" s="200"/>
      <c r="AK51" s="200"/>
      <c r="AL51" s="200"/>
      <c r="AM51" s="200"/>
      <c r="AN51" s="200"/>
    </row>
    <row r="52" spans="1:40" ht="15" customHeight="1" x14ac:dyDescent="0.2">
      <c r="A52" s="241"/>
      <c r="B52" s="241"/>
      <c r="C52" s="241"/>
      <c r="D52" s="241"/>
      <c r="E52" s="241"/>
      <c r="F52" s="239"/>
      <c r="H52" s="217"/>
      <c r="I52" s="217"/>
      <c r="J52" s="217"/>
      <c r="K52" s="217"/>
      <c r="L52" s="217"/>
      <c r="M52" s="217"/>
      <c r="N52" s="217"/>
      <c r="O52" s="217"/>
      <c r="P52" s="217"/>
      <c r="Q52" s="217"/>
      <c r="R52" s="217"/>
      <c r="S52" s="217"/>
      <c r="T52" s="217"/>
      <c r="U52" s="217"/>
      <c r="V52" s="217"/>
      <c r="W52" s="208"/>
      <c r="X52" s="200"/>
      <c r="Y52" s="200"/>
      <c r="Z52" s="200"/>
      <c r="AA52" s="200"/>
      <c r="AB52" s="200"/>
      <c r="AC52" s="200"/>
      <c r="AD52" s="200"/>
      <c r="AE52" s="200"/>
      <c r="AF52" s="200"/>
      <c r="AG52" s="200"/>
      <c r="AH52" s="200"/>
      <c r="AI52" s="200"/>
      <c r="AJ52" s="200"/>
      <c r="AK52" s="200"/>
      <c r="AL52" s="200"/>
      <c r="AM52" s="200"/>
      <c r="AN52" s="200"/>
    </row>
    <row r="53" spans="1:40" ht="15" customHeight="1" x14ac:dyDescent="0.2">
      <c r="A53" s="215"/>
      <c r="H53" s="217"/>
      <c r="I53" s="217"/>
      <c r="J53" s="217"/>
      <c r="K53" s="217"/>
      <c r="L53" s="217"/>
      <c r="M53" s="217"/>
      <c r="N53" s="217"/>
      <c r="O53" s="217"/>
      <c r="P53" s="217"/>
      <c r="Q53" s="217"/>
      <c r="R53" s="217"/>
      <c r="S53" s="217"/>
      <c r="T53" s="217"/>
      <c r="U53" s="217"/>
      <c r="V53" s="217"/>
      <c r="W53" s="208"/>
      <c r="X53" s="200"/>
      <c r="Y53" s="200"/>
      <c r="Z53" s="200"/>
      <c r="AA53" s="200"/>
      <c r="AB53" s="200"/>
      <c r="AC53" s="200"/>
      <c r="AD53" s="200"/>
      <c r="AE53" s="200"/>
      <c r="AF53" s="200"/>
      <c r="AG53" s="200"/>
      <c r="AH53" s="200"/>
      <c r="AI53" s="200"/>
      <c r="AJ53" s="200"/>
      <c r="AK53" s="200"/>
      <c r="AL53" s="200"/>
      <c r="AM53" s="200"/>
      <c r="AN53" s="200"/>
    </row>
    <row r="54" spans="1:40" ht="15" customHeight="1" x14ac:dyDescent="0.2">
      <c r="A54" s="215"/>
      <c r="H54" s="217"/>
      <c r="I54" s="217"/>
      <c r="J54" s="217"/>
      <c r="K54" s="217"/>
      <c r="L54" s="217"/>
      <c r="M54" s="217"/>
      <c r="N54" s="217"/>
      <c r="O54" s="217"/>
      <c r="P54" s="217"/>
      <c r="Q54" s="217"/>
      <c r="R54" s="217"/>
      <c r="S54" s="217"/>
      <c r="T54" s="217"/>
      <c r="U54" s="217"/>
      <c r="V54" s="217"/>
      <c r="W54" s="208"/>
      <c r="X54" s="200"/>
      <c r="Y54" s="200"/>
      <c r="Z54" s="200"/>
      <c r="AA54" s="200"/>
      <c r="AB54" s="200"/>
      <c r="AC54" s="200"/>
      <c r="AD54" s="200"/>
      <c r="AE54" s="200"/>
      <c r="AF54" s="200"/>
      <c r="AG54" s="200"/>
      <c r="AH54" s="200"/>
      <c r="AI54" s="200"/>
      <c r="AJ54" s="200"/>
      <c r="AK54" s="200"/>
      <c r="AL54" s="200"/>
      <c r="AM54" s="200"/>
      <c r="AN54" s="200"/>
    </row>
    <row r="55" spans="1:40" ht="15" customHeight="1" x14ac:dyDescent="0.2">
      <c r="A55" s="215"/>
      <c r="H55" s="217"/>
      <c r="I55" s="217"/>
      <c r="J55" s="217"/>
      <c r="K55" s="217"/>
      <c r="L55" s="217"/>
      <c r="M55" s="217"/>
      <c r="N55" s="217"/>
      <c r="O55" s="217"/>
      <c r="P55" s="217"/>
      <c r="Q55" s="217"/>
      <c r="R55" s="217"/>
      <c r="S55" s="217"/>
      <c r="T55" s="217"/>
      <c r="U55" s="217"/>
      <c r="V55" s="217"/>
      <c r="W55" s="248"/>
      <c r="X55" s="200"/>
      <c r="Y55" s="200"/>
      <c r="Z55" s="200"/>
      <c r="AA55" s="200"/>
      <c r="AB55" s="200"/>
      <c r="AC55" s="200"/>
      <c r="AD55" s="200"/>
      <c r="AE55" s="200"/>
      <c r="AF55" s="200"/>
      <c r="AG55" s="200"/>
      <c r="AH55" s="200"/>
      <c r="AI55" s="200"/>
      <c r="AJ55" s="200"/>
      <c r="AK55" s="200"/>
      <c r="AL55" s="200"/>
      <c r="AM55" s="200"/>
      <c r="AN55" s="200"/>
    </row>
    <row r="56" spans="1:40" ht="15" customHeight="1" x14ac:dyDescent="0.2">
      <c r="A56" s="215"/>
      <c r="H56" s="217"/>
      <c r="I56" s="217"/>
      <c r="J56" s="217"/>
      <c r="K56" s="217"/>
      <c r="L56" s="217"/>
      <c r="M56" s="217"/>
      <c r="N56" s="217"/>
      <c r="O56" s="217"/>
      <c r="P56" s="217"/>
      <c r="Q56" s="217"/>
      <c r="R56" s="217"/>
      <c r="S56" s="217"/>
      <c r="T56" s="217"/>
      <c r="U56" s="217"/>
      <c r="V56" s="217"/>
      <c r="W56" s="248"/>
      <c r="X56" s="200"/>
      <c r="Y56" s="200"/>
      <c r="Z56" s="200"/>
      <c r="AA56" s="200"/>
      <c r="AB56" s="200"/>
      <c r="AC56" s="200"/>
      <c r="AD56" s="200"/>
      <c r="AE56" s="200"/>
      <c r="AF56" s="200"/>
      <c r="AG56" s="200"/>
      <c r="AH56" s="200"/>
      <c r="AI56" s="200"/>
      <c r="AJ56" s="200"/>
      <c r="AK56" s="200"/>
      <c r="AL56" s="200"/>
      <c r="AM56" s="200"/>
      <c r="AN56" s="200"/>
    </row>
    <row r="57" spans="1:40" ht="15" customHeight="1" x14ac:dyDescent="0.2">
      <c r="A57" s="215"/>
      <c r="H57" s="217"/>
      <c r="I57" s="217"/>
      <c r="J57" s="217"/>
      <c r="K57" s="217"/>
      <c r="L57" s="217"/>
      <c r="M57" s="217"/>
      <c r="N57" s="217"/>
      <c r="O57" s="217"/>
      <c r="P57" s="217"/>
      <c r="Q57" s="217"/>
      <c r="R57" s="217"/>
      <c r="S57" s="217"/>
      <c r="T57" s="217"/>
      <c r="U57" s="217"/>
      <c r="V57" s="217"/>
      <c r="W57" s="248"/>
      <c r="X57" s="200"/>
      <c r="Y57" s="200"/>
      <c r="Z57" s="200"/>
      <c r="AA57" s="200"/>
      <c r="AB57" s="200"/>
      <c r="AC57" s="200"/>
      <c r="AD57" s="200"/>
      <c r="AE57" s="200"/>
      <c r="AF57" s="200"/>
      <c r="AG57" s="200"/>
      <c r="AH57" s="200"/>
      <c r="AI57" s="200"/>
      <c r="AJ57" s="200"/>
      <c r="AK57" s="200"/>
      <c r="AL57" s="200"/>
      <c r="AM57" s="200"/>
      <c r="AN57" s="200"/>
    </row>
    <row r="58" spans="1:40" ht="15" customHeight="1" x14ac:dyDescent="0.2">
      <c r="A58" s="215"/>
      <c r="H58" s="217"/>
      <c r="I58" s="217"/>
      <c r="J58" s="217"/>
      <c r="K58" s="217"/>
      <c r="L58" s="217"/>
      <c r="M58" s="217"/>
      <c r="N58" s="217"/>
      <c r="O58" s="217"/>
      <c r="P58" s="217"/>
      <c r="Q58" s="217"/>
      <c r="R58" s="217"/>
      <c r="S58" s="217"/>
      <c r="T58" s="217"/>
      <c r="U58" s="217"/>
      <c r="V58" s="217"/>
      <c r="W58" s="208"/>
      <c r="X58" s="200"/>
      <c r="Y58" s="200"/>
      <c r="Z58" s="200"/>
      <c r="AA58" s="200"/>
      <c r="AB58" s="200"/>
      <c r="AC58" s="200"/>
      <c r="AD58" s="200"/>
      <c r="AE58" s="200"/>
      <c r="AF58" s="200"/>
      <c r="AG58" s="200"/>
      <c r="AH58" s="200"/>
      <c r="AI58" s="200"/>
      <c r="AJ58" s="200"/>
      <c r="AK58" s="200"/>
      <c r="AL58" s="200"/>
      <c r="AM58" s="200"/>
      <c r="AN58" s="200"/>
    </row>
    <row r="59" spans="1:40" ht="15" customHeight="1" x14ac:dyDescent="0.2">
      <c r="A59" s="215"/>
      <c r="H59" s="217"/>
      <c r="I59" s="217"/>
      <c r="J59" s="217"/>
      <c r="K59" s="217"/>
      <c r="L59" s="217"/>
      <c r="M59" s="217"/>
      <c r="N59" s="217"/>
      <c r="O59" s="217"/>
      <c r="P59" s="217"/>
      <c r="Q59" s="217"/>
      <c r="R59" s="217"/>
      <c r="S59" s="217"/>
      <c r="T59" s="217"/>
      <c r="U59" s="217"/>
      <c r="V59" s="217"/>
      <c r="W59" s="208"/>
      <c r="X59" s="200"/>
      <c r="Y59" s="200"/>
      <c r="Z59" s="200"/>
      <c r="AA59" s="200"/>
      <c r="AB59" s="200"/>
      <c r="AC59" s="200"/>
      <c r="AD59" s="200"/>
      <c r="AE59" s="200"/>
      <c r="AF59" s="200"/>
      <c r="AG59" s="200"/>
      <c r="AH59" s="200"/>
      <c r="AI59" s="200"/>
      <c r="AJ59" s="200"/>
      <c r="AK59" s="200"/>
      <c r="AL59" s="200"/>
      <c r="AM59" s="200"/>
      <c r="AN59" s="200"/>
    </row>
    <row r="60" spans="1:40" ht="15" customHeight="1" x14ac:dyDescent="0.2">
      <c r="A60" s="61"/>
      <c r="H60" s="217"/>
      <c r="I60" s="217"/>
      <c r="J60" s="217"/>
      <c r="K60" s="217"/>
      <c r="L60" s="217"/>
      <c r="M60" s="217"/>
      <c r="N60" s="217"/>
      <c r="O60" s="217"/>
      <c r="P60" s="217"/>
      <c r="Q60" s="217"/>
      <c r="R60" s="217"/>
      <c r="S60" s="217"/>
      <c r="T60" s="217"/>
      <c r="U60" s="217"/>
      <c r="V60" s="217"/>
      <c r="W60" s="208"/>
      <c r="X60" s="200"/>
      <c r="Y60" s="200"/>
      <c r="Z60" s="200"/>
      <c r="AA60" s="200"/>
      <c r="AB60" s="200"/>
      <c r="AC60" s="200"/>
      <c r="AD60" s="200"/>
      <c r="AE60" s="200"/>
      <c r="AF60" s="200"/>
      <c r="AG60" s="200"/>
      <c r="AH60" s="200"/>
      <c r="AI60" s="200"/>
      <c r="AJ60" s="200"/>
      <c r="AK60" s="200"/>
      <c r="AL60" s="200"/>
      <c r="AM60" s="200"/>
      <c r="AN60" s="200"/>
    </row>
    <row r="61" spans="1:40" ht="15" customHeight="1" x14ac:dyDescent="0.2">
      <c r="A61" s="249"/>
      <c r="H61" s="217"/>
      <c r="I61" s="217"/>
      <c r="J61" s="217"/>
      <c r="K61" s="217"/>
      <c r="L61" s="217"/>
      <c r="M61" s="217"/>
      <c r="N61" s="217"/>
      <c r="O61" s="217"/>
      <c r="P61" s="217"/>
      <c r="Q61" s="217"/>
      <c r="R61" s="217"/>
      <c r="S61" s="217"/>
      <c r="T61" s="217"/>
      <c r="U61" s="217"/>
      <c r="V61" s="217"/>
      <c r="W61" s="208"/>
      <c r="X61" s="200"/>
      <c r="Y61" s="200"/>
      <c r="Z61" s="200"/>
      <c r="AA61" s="200"/>
      <c r="AB61" s="200"/>
      <c r="AC61" s="200"/>
      <c r="AD61" s="200"/>
      <c r="AE61" s="200"/>
      <c r="AF61" s="200"/>
      <c r="AG61" s="200"/>
      <c r="AH61" s="200"/>
      <c r="AI61" s="200"/>
      <c r="AJ61" s="200"/>
      <c r="AK61" s="200"/>
      <c r="AL61" s="200"/>
      <c r="AM61" s="200"/>
      <c r="AN61" s="200"/>
    </row>
    <row r="62" spans="1:40" ht="15" customHeight="1" x14ac:dyDescent="0.2">
      <c r="A62" s="249"/>
      <c r="H62" s="217"/>
      <c r="I62" s="217"/>
      <c r="J62" s="217"/>
      <c r="K62" s="217"/>
      <c r="L62" s="217"/>
      <c r="M62" s="217"/>
      <c r="N62" s="217"/>
      <c r="O62" s="217"/>
      <c r="P62" s="217"/>
      <c r="Q62" s="217"/>
      <c r="R62" s="217"/>
      <c r="S62" s="217"/>
      <c r="T62" s="217"/>
      <c r="U62" s="217"/>
      <c r="V62" s="217"/>
      <c r="W62" s="208"/>
      <c r="X62" s="200"/>
      <c r="Y62" s="200"/>
      <c r="Z62" s="200"/>
      <c r="AA62" s="200"/>
      <c r="AB62" s="200"/>
      <c r="AC62" s="200"/>
      <c r="AD62" s="200"/>
      <c r="AE62" s="200"/>
      <c r="AF62" s="200"/>
      <c r="AG62" s="200"/>
      <c r="AH62" s="200"/>
      <c r="AI62" s="200"/>
      <c r="AJ62" s="200"/>
      <c r="AK62" s="200"/>
      <c r="AL62" s="200"/>
      <c r="AM62" s="200"/>
      <c r="AN62" s="200"/>
    </row>
    <row r="63" spans="1:40" ht="15" customHeight="1" x14ac:dyDescent="0.2">
      <c r="A63" s="249"/>
      <c r="H63" s="208"/>
      <c r="I63" s="208"/>
      <c r="J63" s="208"/>
      <c r="K63" s="208"/>
      <c r="L63" s="208"/>
      <c r="M63" s="208"/>
      <c r="N63" s="208"/>
      <c r="O63" s="217"/>
      <c r="P63" s="217"/>
      <c r="Q63" s="217"/>
      <c r="R63" s="217"/>
      <c r="S63" s="217"/>
      <c r="T63" s="217"/>
      <c r="U63" s="217"/>
      <c r="V63" s="217"/>
      <c r="W63" s="208"/>
      <c r="X63" s="200"/>
      <c r="Y63" s="200"/>
      <c r="Z63" s="200"/>
      <c r="AA63" s="200"/>
      <c r="AB63" s="200"/>
      <c r="AC63" s="200"/>
      <c r="AD63" s="200"/>
      <c r="AE63" s="200"/>
      <c r="AF63" s="200"/>
      <c r="AG63" s="200"/>
      <c r="AH63" s="200"/>
      <c r="AI63" s="200"/>
      <c r="AJ63" s="200"/>
      <c r="AK63" s="200"/>
      <c r="AL63" s="200"/>
      <c r="AM63" s="200"/>
      <c r="AN63" s="200"/>
    </row>
    <row r="64" spans="1:40" ht="15" customHeight="1" x14ac:dyDescent="0.2">
      <c r="A64" s="249"/>
      <c r="H64" s="248"/>
      <c r="I64" s="248"/>
      <c r="J64" s="248"/>
      <c r="K64" s="248"/>
      <c r="L64" s="248"/>
      <c r="M64" s="248"/>
      <c r="N64" s="248"/>
      <c r="O64" s="208"/>
      <c r="P64" s="208"/>
      <c r="Q64" s="208"/>
      <c r="R64" s="208"/>
      <c r="S64" s="208"/>
      <c r="T64" s="208"/>
      <c r="U64" s="208"/>
      <c r="V64" s="208"/>
      <c r="W64" s="208"/>
      <c r="X64" s="200"/>
      <c r="Y64" s="200"/>
      <c r="Z64" s="200"/>
      <c r="AA64" s="200"/>
      <c r="AB64" s="200"/>
      <c r="AC64" s="200"/>
      <c r="AD64" s="200"/>
      <c r="AE64" s="200"/>
      <c r="AF64" s="200"/>
      <c r="AG64" s="200"/>
      <c r="AH64" s="200"/>
      <c r="AI64" s="200"/>
      <c r="AJ64" s="200"/>
      <c r="AK64" s="200"/>
      <c r="AL64" s="200"/>
      <c r="AM64" s="200"/>
      <c r="AN64" s="200"/>
    </row>
    <row r="65" spans="1:40" ht="15" customHeight="1" x14ac:dyDescent="0.2">
      <c r="A65" s="232"/>
      <c r="H65" s="248"/>
      <c r="I65" s="248"/>
      <c r="J65" s="248"/>
      <c r="K65" s="248"/>
      <c r="L65" s="248"/>
      <c r="M65" s="248"/>
      <c r="N65" s="248"/>
      <c r="O65" s="248"/>
      <c r="P65" s="248"/>
      <c r="Q65" s="248"/>
      <c r="R65" s="248"/>
      <c r="S65" s="248"/>
      <c r="T65" s="248"/>
      <c r="U65" s="248"/>
      <c r="V65" s="248"/>
      <c r="W65" s="200"/>
      <c r="X65" s="200"/>
      <c r="Y65" s="200"/>
      <c r="Z65" s="200"/>
      <c r="AA65" s="200"/>
      <c r="AB65" s="200"/>
      <c r="AC65" s="200"/>
      <c r="AD65" s="200"/>
      <c r="AE65" s="200"/>
      <c r="AF65" s="200"/>
      <c r="AG65" s="200"/>
      <c r="AH65" s="200"/>
      <c r="AI65" s="200"/>
      <c r="AJ65" s="200"/>
      <c r="AK65" s="200"/>
      <c r="AL65" s="200"/>
      <c r="AM65" s="200"/>
      <c r="AN65" s="200"/>
    </row>
    <row r="66" spans="1:40" ht="15" customHeight="1" x14ac:dyDescent="0.2">
      <c r="A66" s="232"/>
      <c r="H66" s="248"/>
      <c r="I66" s="248"/>
      <c r="J66" s="248"/>
      <c r="K66" s="248"/>
      <c r="L66" s="248"/>
      <c r="M66" s="248"/>
      <c r="N66" s="248"/>
      <c r="O66" s="248"/>
      <c r="P66" s="248"/>
      <c r="Q66" s="248"/>
      <c r="R66" s="248"/>
      <c r="S66" s="248"/>
      <c r="T66" s="248"/>
      <c r="U66" s="248"/>
      <c r="V66" s="248"/>
      <c r="W66" s="200"/>
      <c r="X66" s="200"/>
      <c r="Y66" s="200"/>
      <c r="Z66" s="200"/>
      <c r="AA66" s="200"/>
      <c r="AB66" s="200"/>
      <c r="AC66" s="200"/>
      <c r="AD66" s="200"/>
      <c r="AE66" s="200"/>
      <c r="AF66" s="200"/>
      <c r="AG66" s="200"/>
      <c r="AH66" s="200"/>
      <c r="AI66" s="200"/>
      <c r="AJ66" s="200"/>
      <c r="AK66" s="200"/>
      <c r="AL66" s="200"/>
      <c r="AM66" s="200"/>
      <c r="AN66" s="200"/>
    </row>
    <row r="67" spans="1:40" ht="15" customHeight="1" x14ac:dyDescent="0.2">
      <c r="A67" s="232"/>
      <c r="H67" s="248"/>
      <c r="I67" s="248"/>
      <c r="J67" s="248"/>
      <c r="K67" s="248"/>
      <c r="L67" s="248"/>
      <c r="M67" s="248"/>
      <c r="N67" s="248"/>
      <c r="O67" s="248"/>
      <c r="P67" s="248"/>
      <c r="Q67" s="248"/>
      <c r="R67" s="248"/>
      <c r="S67" s="248"/>
      <c r="T67" s="248"/>
      <c r="U67" s="248"/>
      <c r="V67" s="248"/>
      <c r="W67" s="200"/>
      <c r="X67" s="200"/>
      <c r="Y67" s="200"/>
      <c r="Z67" s="200"/>
      <c r="AA67" s="200"/>
      <c r="AB67" s="200"/>
      <c r="AC67" s="200"/>
      <c r="AD67" s="200"/>
      <c r="AE67" s="200"/>
      <c r="AF67" s="200"/>
      <c r="AG67" s="200"/>
      <c r="AH67" s="200"/>
      <c r="AI67" s="200"/>
      <c r="AJ67" s="200"/>
      <c r="AK67" s="200"/>
      <c r="AL67" s="200"/>
      <c r="AM67" s="200"/>
      <c r="AN67" s="200"/>
    </row>
    <row r="68" spans="1:40" ht="15" customHeight="1" x14ac:dyDescent="0.2">
      <c r="A68" s="232"/>
      <c r="H68" s="248"/>
      <c r="I68" s="248"/>
      <c r="J68" s="248"/>
      <c r="K68" s="248"/>
      <c r="L68" s="248"/>
      <c r="M68" s="248"/>
      <c r="N68" s="248"/>
      <c r="O68" s="248"/>
      <c r="P68" s="248"/>
      <c r="Q68" s="248"/>
      <c r="R68" s="248"/>
      <c r="S68" s="248"/>
      <c r="T68" s="248"/>
      <c r="U68" s="248"/>
      <c r="V68" s="248"/>
      <c r="W68" s="200"/>
      <c r="X68" s="200"/>
      <c r="Y68" s="200"/>
      <c r="Z68" s="200"/>
      <c r="AA68" s="200"/>
      <c r="AB68" s="200"/>
      <c r="AC68" s="200"/>
      <c r="AD68" s="200"/>
      <c r="AE68" s="200"/>
      <c r="AF68" s="200"/>
      <c r="AG68" s="200"/>
      <c r="AH68" s="200"/>
      <c r="AI68" s="200"/>
      <c r="AJ68" s="200"/>
      <c r="AK68" s="200"/>
      <c r="AL68" s="200"/>
      <c r="AM68" s="200"/>
      <c r="AN68" s="200"/>
    </row>
    <row r="69" spans="1:40" ht="15" customHeight="1" x14ac:dyDescent="0.2">
      <c r="A69" s="232"/>
      <c r="H69" s="248"/>
      <c r="I69" s="248"/>
      <c r="J69" s="248"/>
      <c r="K69" s="248"/>
      <c r="L69" s="248"/>
      <c r="M69" s="248"/>
      <c r="N69" s="248"/>
      <c r="O69" s="248"/>
      <c r="P69" s="248"/>
      <c r="Q69" s="248"/>
      <c r="R69" s="248"/>
      <c r="S69" s="248"/>
      <c r="T69" s="248"/>
      <c r="U69" s="248"/>
      <c r="V69" s="248"/>
      <c r="W69" s="200"/>
      <c r="X69" s="200"/>
      <c r="Y69" s="200"/>
      <c r="Z69" s="200"/>
      <c r="AA69" s="200"/>
      <c r="AB69" s="200"/>
      <c r="AC69" s="200"/>
      <c r="AD69" s="200"/>
      <c r="AE69" s="200"/>
      <c r="AF69" s="200"/>
      <c r="AG69" s="200"/>
      <c r="AH69" s="200"/>
      <c r="AI69" s="200"/>
      <c r="AJ69" s="200"/>
      <c r="AK69" s="200"/>
      <c r="AL69" s="200"/>
      <c r="AM69" s="200"/>
      <c r="AN69" s="200"/>
    </row>
    <row r="70" spans="1:40" ht="15" customHeight="1" x14ac:dyDescent="0.2">
      <c r="A70" s="232"/>
      <c r="H70" s="248"/>
      <c r="I70" s="248"/>
      <c r="J70" s="248"/>
      <c r="K70" s="248"/>
      <c r="L70" s="248"/>
      <c r="M70" s="248"/>
      <c r="N70" s="248"/>
      <c r="O70" s="248"/>
      <c r="P70" s="248"/>
      <c r="Q70" s="248"/>
      <c r="R70" s="248"/>
      <c r="S70" s="248"/>
      <c r="T70" s="248"/>
      <c r="U70" s="248"/>
      <c r="V70" s="248"/>
      <c r="W70" s="200"/>
      <c r="X70" s="200"/>
      <c r="Y70" s="200"/>
      <c r="Z70" s="200"/>
      <c r="AA70" s="200"/>
      <c r="AB70" s="200"/>
      <c r="AC70" s="200"/>
      <c r="AD70" s="200"/>
      <c r="AE70" s="200"/>
      <c r="AF70" s="200"/>
      <c r="AG70" s="200"/>
      <c r="AH70" s="200"/>
      <c r="AI70" s="200"/>
      <c r="AJ70" s="200"/>
      <c r="AK70" s="200"/>
      <c r="AL70" s="200"/>
      <c r="AM70" s="200"/>
      <c r="AN70" s="200"/>
    </row>
    <row r="71" spans="1:40" ht="15" customHeight="1" x14ac:dyDescent="0.2">
      <c r="A71" s="232"/>
      <c r="H71" s="248"/>
      <c r="I71" s="248"/>
      <c r="J71" s="248"/>
      <c r="K71" s="248"/>
      <c r="L71" s="248"/>
      <c r="M71" s="248"/>
      <c r="N71" s="248"/>
      <c r="O71" s="248"/>
      <c r="P71" s="248"/>
      <c r="Q71" s="248"/>
      <c r="R71" s="248"/>
      <c r="S71" s="248"/>
      <c r="T71" s="248"/>
      <c r="U71" s="248"/>
      <c r="V71" s="248"/>
      <c r="W71" s="200"/>
      <c r="X71" s="200"/>
      <c r="Y71" s="200"/>
      <c r="Z71" s="200"/>
      <c r="AA71" s="200"/>
      <c r="AB71" s="200"/>
      <c r="AC71" s="200"/>
      <c r="AD71" s="200"/>
      <c r="AE71" s="200"/>
      <c r="AF71" s="200"/>
      <c r="AG71" s="200"/>
      <c r="AH71" s="200"/>
      <c r="AI71" s="200"/>
      <c r="AJ71" s="200"/>
      <c r="AK71" s="200"/>
      <c r="AL71" s="200"/>
      <c r="AM71" s="200"/>
      <c r="AN71" s="200"/>
    </row>
    <row r="72" spans="1:40" ht="15" customHeight="1" x14ac:dyDescent="0.2">
      <c r="A72" s="232"/>
      <c r="H72" s="248"/>
      <c r="I72" s="248"/>
      <c r="J72" s="248"/>
      <c r="K72" s="248"/>
      <c r="L72" s="248"/>
      <c r="M72" s="248"/>
      <c r="N72" s="248"/>
      <c r="O72" s="248"/>
      <c r="P72" s="248"/>
      <c r="Q72" s="248"/>
      <c r="R72" s="248"/>
      <c r="S72" s="248"/>
      <c r="T72" s="248"/>
      <c r="U72" s="248"/>
      <c r="V72" s="248"/>
      <c r="W72" s="200"/>
      <c r="X72" s="200"/>
      <c r="Y72" s="200"/>
      <c r="Z72" s="200"/>
      <c r="AA72" s="200"/>
      <c r="AB72" s="200"/>
      <c r="AC72" s="200"/>
      <c r="AD72" s="200"/>
      <c r="AE72" s="200"/>
      <c r="AF72" s="200"/>
      <c r="AG72" s="200"/>
      <c r="AH72" s="200"/>
      <c r="AI72" s="200"/>
      <c r="AJ72" s="200"/>
      <c r="AK72" s="200"/>
      <c r="AL72" s="200"/>
      <c r="AM72" s="200"/>
      <c r="AN72" s="200"/>
    </row>
    <row r="73" spans="1:40" ht="15" customHeight="1" x14ac:dyDescent="0.2">
      <c r="A73" s="232"/>
      <c r="H73" s="248"/>
      <c r="I73" s="248"/>
      <c r="J73" s="248"/>
      <c r="K73" s="248"/>
      <c r="L73" s="248"/>
      <c r="M73" s="248"/>
      <c r="N73" s="248"/>
      <c r="O73" s="248"/>
      <c r="P73" s="248"/>
      <c r="Q73" s="248"/>
      <c r="R73" s="248"/>
      <c r="S73" s="248"/>
      <c r="T73" s="248"/>
      <c r="U73" s="248"/>
      <c r="V73" s="248"/>
      <c r="W73" s="200"/>
      <c r="X73" s="200"/>
      <c r="Y73" s="200"/>
      <c r="Z73" s="200"/>
      <c r="AA73" s="200"/>
      <c r="AB73" s="200"/>
      <c r="AC73" s="200"/>
      <c r="AD73" s="200"/>
      <c r="AE73" s="200"/>
      <c r="AF73" s="200"/>
      <c r="AG73" s="200"/>
      <c r="AH73" s="200"/>
      <c r="AI73" s="200"/>
      <c r="AJ73" s="200"/>
      <c r="AK73" s="200"/>
      <c r="AL73" s="200"/>
      <c r="AM73" s="200"/>
      <c r="AN73" s="200"/>
    </row>
    <row r="74" spans="1:40" ht="15" customHeight="1" x14ac:dyDescent="0.2">
      <c r="A74" s="232"/>
      <c r="N74" s="200"/>
      <c r="O74" s="248"/>
      <c r="P74" s="248"/>
      <c r="Q74" s="248"/>
      <c r="R74" s="248"/>
      <c r="S74" s="248"/>
      <c r="T74" s="248"/>
      <c r="U74" s="248"/>
      <c r="V74" s="248"/>
      <c r="W74" s="200"/>
      <c r="X74" s="200"/>
      <c r="Y74" s="200"/>
      <c r="Z74" s="200"/>
      <c r="AA74" s="200"/>
      <c r="AB74" s="200"/>
      <c r="AC74" s="200"/>
      <c r="AD74" s="200"/>
      <c r="AE74" s="200"/>
      <c r="AF74" s="200"/>
      <c r="AG74" s="200"/>
      <c r="AH74" s="200"/>
      <c r="AI74" s="200"/>
      <c r="AJ74" s="200"/>
      <c r="AK74" s="200"/>
      <c r="AL74" s="200"/>
      <c r="AM74" s="200"/>
      <c r="AN74" s="200"/>
    </row>
    <row r="75" spans="1:40" ht="15" customHeight="1" x14ac:dyDescent="0.2">
      <c r="A75" s="232"/>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row>
    <row r="76" spans="1:40" ht="15" customHeight="1" x14ac:dyDescent="0.2">
      <c r="A76" s="232"/>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row>
    <row r="77" spans="1:40" ht="15" customHeight="1" x14ac:dyDescent="0.2">
      <c r="A77" s="232"/>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row>
    <row r="78" spans="1:40" ht="15" customHeight="1" x14ac:dyDescent="0.2">
      <c r="A78" s="232"/>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row>
    <row r="79" spans="1:40" ht="15" customHeight="1" x14ac:dyDescent="0.2">
      <c r="A79" s="232"/>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row>
    <row r="80" spans="1:40" ht="15" customHeight="1" x14ac:dyDescent="0.2">
      <c r="A80" s="232"/>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row>
    <row r="81" spans="1:40" ht="15" customHeight="1" x14ac:dyDescent="0.2">
      <c r="A81" s="232"/>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row>
    <row r="82" spans="1:40" ht="15" customHeight="1" x14ac:dyDescent="0.2">
      <c r="A82" s="232"/>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row>
    <row r="83" spans="1:40" ht="15" customHeight="1" x14ac:dyDescent="0.2">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row>
    <row r="84" spans="1:40" ht="15" customHeight="1" x14ac:dyDescent="0.2">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row>
    <row r="85" spans="1:40" ht="15" customHeight="1" x14ac:dyDescent="0.2">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row>
    <row r="86" spans="1:40" ht="15" customHeight="1" x14ac:dyDescent="0.2">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row>
    <row r="87" spans="1:40" ht="15" customHeight="1" x14ac:dyDescent="0.2">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row>
    <row r="88" spans="1:40" ht="15" customHeight="1" x14ac:dyDescent="0.2">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row>
    <row r="89" spans="1:40" ht="15" customHeight="1" x14ac:dyDescent="0.2">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row>
    <row r="90" spans="1:40" ht="15" customHeight="1" x14ac:dyDescent="0.2">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row>
    <row r="91" spans="1:40" ht="15" customHeight="1" x14ac:dyDescent="0.2">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row>
    <row r="92" spans="1:40" ht="15" customHeight="1" x14ac:dyDescent="0.2">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row>
    <row r="93" spans="1:40" ht="15" customHeight="1" x14ac:dyDescent="0.2">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row>
    <row r="94" spans="1:40" ht="15" customHeight="1" x14ac:dyDescent="0.2">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row>
    <row r="95" spans="1:40" ht="15" customHeight="1" x14ac:dyDescent="0.2">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row>
    <row r="96" spans="1:40" ht="15" customHeight="1" x14ac:dyDescent="0.2">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row>
    <row r="97" spans="14:40" ht="15" customHeight="1" x14ac:dyDescent="0.2">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row>
    <row r="98" spans="14:40" ht="15" customHeight="1" x14ac:dyDescent="0.2">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row>
    <row r="99" spans="14:40" ht="15" customHeight="1" x14ac:dyDescent="0.2">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row>
    <row r="100" spans="14:40" ht="15" customHeight="1" x14ac:dyDescent="0.2">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row>
    <row r="101" spans="14:40" ht="15" customHeight="1" x14ac:dyDescent="0.2">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row>
    <row r="102" spans="14:40" ht="15" customHeight="1" x14ac:dyDescent="0.2">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row>
    <row r="103" spans="14:40" ht="15" customHeight="1" x14ac:dyDescent="0.2">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row>
    <row r="104" spans="14:40" ht="15" customHeight="1" x14ac:dyDescent="0.2">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row>
    <row r="105" spans="14:40" ht="15" customHeight="1" x14ac:dyDescent="0.2">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row>
    <row r="106" spans="14:40" ht="15" customHeight="1" x14ac:dyDescent="0.2">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row>
    <row r="107" spans="14:40" ht="15" customHeight="1" x14ac:dyDescent="0.2">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row>
    <row r="108" spans="14:40" ht="15" customHeight="1" x14ac:dyDescent="0.2">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row>
    <row r="109" spans="14:40" ht="15" customHeight="1" x14ac:dyDescent="0.2">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row>
    <row r="110" spans="14:40" ht="15" customHeight="1" x14ac:dyDescent="0.2">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row>
    <row r="111" spans="14:40" ht="15" customHeight="1" x14ac:dyDescent="0.2">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row>
    <row r="112" spans="14:40" ht="15" customHeight="1" x14ac:dyDescent="0.2">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row>
    <row r="113" spans="14:40" ht="15" customHeight="1" x14ac:dyDescent="0.2">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row>
    <row r="114" spans="14:40" ht="15" customHeight="1" x14ac:dyDescent="0.2">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row>
    <row r="115" spans="14:40" ht="15" customHeight="1" x14ac:dyDescent="0.2">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row>
    <row r="116" spans="14:40" ht="15" customHeight="1" x14ac:dyDescent="0.2">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row>
    <row r="117" spans="14:40" ht="15" customHeight="1" x14ac:dyDescent="0.2">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row>
    <row r="118" spans="14:40" ht="15" customHeight="1" x14ac:dyDescent="0.2">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row>
    <row r="119" spans="14:40" ht="15" customHeight="1" x14ac:dyDescent="0.2">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row>
    <row r="120" spans="14:40" ht="15" customHeight="1" x14ac:dyDescent="0.2">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row>
    <row r="121" spans="14:40" ht="15" customHeight="1" x14ac:dyDescent="0.2">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row>
    <row r="122" spans="14:40" ht="15" customHeight="1" x14ac:dyDescent="0.2">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row>
    <row r="123" spans="14:40" ht="15" customHeight="1" x14ac:dyDescent="0.2">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row>
    <row r="124" spans="14:40" ht="15" customHeight="1" x14ac:dyDescent="0.2">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row>
    <row r="125" spans="14:40" ht="15" customHeight="1" x14ac:dyDescent="0.2">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row>
    <row r="126" spans="14:40" ht="15" customHeight="1" x14ac:dyDescent="0.2">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row>
    <row r="127" spans="14:40" ht="15" customHeight="1" x14ac:dyDescent="0.2">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row>
    <row r="128" spans="14:40" ht="15" customHeight="1" x14ac:dyDescent="0.2">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row>
    <row r="129" spans="14:40" ht="15" customHeight="1" x14ac:dyDescent="0.2">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row>
    <row r="130" spans="14:40" ht="15" customHeight="1" x14ac:dyDescent="0.2">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row>
    <row r="131" spans="14:40" ht="15" customHeight="1" x14ac:dyDescent="0.2">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row>
    <row r="132" spans="14:40" ht="15" customHeight="1" x14ac:dyDescent="0.2">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row>
    <row r="133" spans="14:40" ht="15" customHeight="1" x14ac:dyDescent="0.2">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row>
    <row r="134" spans="14:40" ht="15" customHeight="1" x14ac:dyDescent="0.2">
      <c r="N134" s="200"/>
      <c r="O134" s="200"/>
      <c r="P134" s="200"/>
      <c r="Q134" s="200"/>
      <c r="R134" s="200"/>
      <c r="S134" s="200"/>
      <c r="T134" s="200"/>
      <c r="U134" s="200"/>
      <c r="V134" s="200"/>
    </row>
    <row r="135" spans="14:40" ht="15" customHeight="1" x14ac:dyDescent="0.2">
      <c r="N135" s="200"/>
      <c r="O135" s="200"/>
      <c r="P135" s="200"/>
      <c r="Q135" s="200"/>
      <c r="R135" s="200"/>
      <c r="S135" s="200"/>
      <c r="T135" s="200"/>
      <c r="U135" s="200"/>
      <c r="V135" s="200"/>
    </row>
    <row r="136" spans="14:40" ht="15" customHeight="1" x14ac:dyDescent="0.2">
      <c r="N136" s="200"/>
      <c r="O136" s="200"/>
      <c r="P136" s="200"/>
      <c r="Q136" s="200"/>
      <c r="R136" s="200"/>
      <c r="S136" s="200"/>
      <c r="T136" s="200"/>
      <c r="U136" s="200"/>
      <c r="V136" s="200"/>
    </row>
    <row r="137" spans="14:40" ht="15" customHeight="1" x14ac:dyDescent="0.2">
      <c r="N137" s="200"/>
      <c r="O137" s="200"/>
      <c r="P137" s="200"/>
      <c r="Q137" s="200"/>
      <c r="R137" s="200"/>
      <c r="S137" s="200"/>
      <c r="T137" s="200"/>
      <c r="U137" s="200"/>
      <c r="V137" s="200"/>
    </row>
    <row r="138" spans="14:40" ht="15" customHeight="1" x14ac:dyDescent="0.2">
      <c r="N138" s="200"/>
      <c r="O138" s="200"/>
      <c r="P138" s="200"/>
      <c r="Q138" s="200"/>
      <c r="R138" s="200"/>
      <c r="S138" s="200"/>
      <c r="T138" s="200"/>
      <c r="U138" s="200"/>
      <c r="V138" s="200"/>
    </row>
    <row r="139" spans="14:40" ht="15" customHeight="1" x14ac:dyDescent="0.2">
      <c r="N139" s="200"/>
      <c r="O139" s="200"/>
      <c r="P139" s="200"/>
      <c r="Q139" s="200"/>
      <c r="R139" s="200"/>
      <c r="S139" s="200"/>
      <c r="T139" s="200"/>
      <c r="U139" s="200"/>
      <c r="V139" s="200"/>
    </row>
    <row r="140" spans="14:40" ht="15" customHeight="1" x14ac:dyDescent="0.2">
      <c r="N140" s="200"/>
      <c r="O140" s="200"/>
      <c r="P140" s="200"/>
      <c r="Q140" s="200"/>
      <c r="R140" s="200"/>
      <c r="S140" s="200"/>
      <c r="T140" s="200"/>
      <c r="U140" s="200"/>
      <c r="V140" s="200"/>
    </row>
    <row r="141" spans="14:40" ht="15" customHeight="1" x14ac:dyDescent="0.2">
      <c r="N141" s="200"/>
      <c r="O141" s="200"/>
      <c r="P141" s="200"/>
      <c r="Q141" s="200"/>
      <c r="R141" s="200"/>
      <c r="S141" s="200"/>
      <c r="T141" s="200"/>
      <c r="U141" s="200"/>
      <c r="V141" s="200"/>
    </row>
    <row r="142" spans="14:40" ht="15" customHeight="1" x14ac:dyDescent="0.2">
      <c r="O142" s="200"/>
      <c r="P142" s="200"/>
      <c r="Q142" s="200"/>
      <c r="R142" s="200"/>
      <c r="S142" s="200"/>
      <c r="T142" s="200"/>
      <c r="U142" s="200"/>
      <c r="V142" s="200"/>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A48:E52"/>
    <mergeCell ref="A28:E35"/>
    <mergeCell ref="A37:E37"/>
    <mergeCell ref="A38:E40"/>
    <mergeCell ref="A42:E42"/>
    <mergeCell ref="A43:E45"/>
    <mergeCell ref="A47:E47"/>
    <mergeCell ref="A19:E19"/>
    <mergeCell ref="A20:E20"/>
    <mergeCell ref="A21:E22"/>
    <mergeCell ref="F21:K23"/>
    <mergeCell ref="A23:E24"/>
    <mergeCell ref="A27:E27"/>
    <mergeCell ref="A8:E8"/>
    <mergeCell ref="G8:N8"/>
    <mergeCell ref="I9:N9"/>
    <mergeCell ref="G10:N10"/>
    <mergeCell ref="H11:N15"/>
    <mergeCell ref="G16:N16"/>
    <mergeCell ref="A1:E1"/>
    <mergeCell ref="A2:E2"/>
    <mergeCell ref="G4:N4"/>
    <mergeCell ref="I5:N5"/>
    <mergeCell ref="I6:N6"/>
    <mergeCell ref="I7:N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s>
  <printOptions horizontalCentered="1"/>
  <pageMargins left="0.25" right="0.25" top="0.5" bottom="0.75" header="0.3" footer="0.3"/>
  <pageSetup orientation="portrait" horizontalDpi="1200" verticalDpi="120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113"/>
  <sheetViews>
    <sheetView showGridLines="0" workbookViewId="0">
      <selection activeCell="I49" sqref="I49"/>
    </sheetView>
  </sheetViews>
  <sheetFormatPr defaultRowHeight="12.75" x14ac:dyDescent="0.2"/>
  <cols>
    <col min="1" max="8" width="12.5" customWidth="1"/>
    <col min="10" max="13" width="16.6640625" customWidth="1"/>
  </cols>
  <sheetData>
    <row r="1" spans="1:13" ht="15.75" x14ac:dyDescent="0.2">
      <c r="A1" s="143" t="s">
        <v>172</v>
      </c>
      <c r="B1" s="143"/>
      <c r="C1" s="143"/>
      <c r="D1" s="143"/>
      <c r="E1" s="143"/>
      <c r="F1" s="143"/>
      <c r="G1" s="143"/>
      <c r="H1" s="143"/>
      <c r="J1" s="143" t="s">
        <v>182</v>
      </c>
      <c r="K1" s="143"/>
      <c r="L1" s="143"/>
      <c r="M1" s="143"/>
    </row>
    <row r="2" spans="1:13" ht="15" x14ac:dyDescent="0.2">
      <c r="A2" s="49" t="s">
        <v>173</v>
      </c>
      <c r="B2" s="49" t="s">
        <v>174</v>
      </c>
      <c r="C2" s="49" t="s">
        <v>175</v>
      </c>
      <c r="D2" s="49" t="s">
        <v>176</v>
      </c>
      <c r="E2" s="49" t="s">
        <v>177</v>
      </c>
      <c r="F2" s="49" t="s">
        <v>178</v>
      </c>
      <c r="G2" s="49" t="s">
        <v>179</v>
      </c>
      <c r="H2" s="49" t="s">
        <v>180</v>
      </c>
      <c r="J2" s="49"/>
      <c r="K2" s="49" t="s">
        <v>183</v>
      </c>
      <c r="L2" s="49" t="s">
        <v>184</v>
      </c>
      <c r="M2" s="49" t="s">
        <v>305</v>
      </c>
    </row>
    <row r="3" spans="1:13" ht="13.5" x14ac:dyDescent="0.2">
      <c r="A3" s="51">
        <v>-20</v>
      </c>
      <c r="B3" s="51" t="s">
        <v>181</v>
      </c>
      <c r="C3" s="51">
        <v>0.5600000000000005</v>
      </c>
      <c r="D3" s="51">
        <v>10.210000000000001</v>
      </c>
      <c r="E3" s="51" t="s">
        <v>181</v>
      </c>
      <c r="F3" s="51" t="s">
        <v>181</v>
      </c>
      <c r="G3" s="51">
        <v>3.2200000000000024</v>
      </c>
      <c r="H3" s="51">
        <v>3.5800000000000018</v>
      </c>
      <c r="J3" s="43" t="s">
        <v>185</v>
      </c>
      <c r="K3" s="51">
        <f>Analysis!C10</f>
        <v>150</v>
      </c>
      <c r="L3" s="51">
        <f>Analysis!C17</f>
        <v>100</v>
      </c>
      <c r="M3" s="51">
        <f>Analysis!C28</f>
        <v>134</v>
      </c>
    </row>
    <row r="4" spans="1:13" ht="15" x14ac:dyDescent="0.2">
      <c r="A4" s="51">
        <v>-18</v>
      </c>
      <c r="B4" s="51" t="s">
        <v>181</v>
      </c>
      <c r="C4" s="51">
        <v>1.2900000000000009</v>
      </c>
      <c r="D4" s="51">
        <v>11.39</v>
      </c>
      <c r="E4" s="51" t="s">
        <v>181</v>
      </c>
      <c r="F4" s="51" t="s">
        <v>181</v>
      </c>
      <c r="G4" s="51">
        <v>4.07</v>
      </c>
      <c r="H4" s="51">
        <v>4.57</v>
      </c>
      <c r="J4" s="50" t="s">
        <v>186</v>
      </c>
      <c r="K4" s="49" t="s">
        <v>187</v>
      </c>
      <c r="L4" s="49" t="s">
        <v>187</v>
      </c>
      <c r="M4" s="49" t="s">
        <v>187</v>
      </c>
    </row>
    <row r="5" spans="1:13" ht="13.5" x14ac:dyDescent="0.2">
      <c r="A5" s="51">
        <v>-16</v>
      </c>
      <c r="B5" s="51" t="s">
        <v>181</v>
      </c>
      <c r="C5" s="51">
        <v>2.0399999999999991</v>
      </c>
      <c r="D5" s="51">
        <v>12.61</v>
      </c>
      <c r="E5" s="51" t="s">
        <v>181</v>
      </c>
      <c r="F5" s="51" t="s">
        <v>181</v>
      </c>
      <c r="G5" s="51">
        <v>4.9600000000000009</v>
      </c>
      <c r="H5" s="51">
        <v>5.620000000000001</v>
      </c>
      <c r="J5" s="43" t="s">
        <v>174</v>
      </c>
      <c r="K5" s="51" t="str">
        <f ca="1">IFERROR(FORECAST(K3,OFFSET($A$3,MATCH(K3,$B$3:$B$113,1)-1,0,2),OFFSET($B$3,MATCH(K3,$B$3:$B$113,1)-1,0,2)),"-")</f>
        <v>-</v>
      </c>
      <c r="L5" s="51" t="str">
        <f ca="1">IFERROR(FORECAST(L3,OFFSET($A$3,MATCH(L3,$B$3:$B$113,1)-1,0,2),OFFSET($B$3,MATCH(L3,$B$3:$B$113,1)-1,0,2)),"-")</f>
        <v>-</v>
      </c>
      <c r="M5" s="51">
        <f t="shared" ref="M5" ca="1" si="0">IFERROR(FORECAST(M3,OFFSET($A$3,MATCH(M3,$B$3:$B$72,1)-1,0,2),OFFSET($B$3,MATCH(M3,$B$3:$B$72,1)-1,0,2)),"-")</f>
        <v>338.4150943396229</v>
      </c>
    </row>
    <row r="6" spans="1:13" ht="13.5" x14ac:dyDescent="0.2">
      <c r="A6" s="51">
        <v>-14</v>
      </c>
      <c r="B6" s="51" t="s">
        <v>181</v>
      </c>
      <c r="C6" s="51">
        <v>2.8200000000000003</v>
      </c>
      <c r="D6" s="51">
        <v>13.870000000000001</v>
      </c>
      <c r="E6" s="51" t="s">
        <v>181</v>
      </c>
      <c r="F6" s="51">
        <v>0.36000000000000121</v>
      </c>
      <c r="G6" s="51">
        <v>5.870000000000001</v>
      </c>
      <c r="H6" s="51">
        <v>6.7100000000000009</v>
      </c>
      <c r="J6" s="43" t="s">
        <v>175</v>
      </c>
      <c r="K6" s="51">
        <f ca="1">IFERROR(FORECAST(K3,OFFSET($A$3,MATCH(K3,$C$3:$C$113,1)-1,0,2),OFFSET($C$3,MATCH(K3,$C$3:$C$113,1)-1,0,2)),"-")</f>
        <v>116.54545454545455</v>
      </c>
      <c r="L6" s="51">
        <f ca="1">IFERROR(FORECAST(L3,OFFSET($A$3,MATCH(L3,$C$3:$C$113,1)-1,0,2),OFFSET($C$3,MATCH(L3,$C$3:$C$113,1)-1,0,2)),"-")</f>
        <v>90.17647058823529</v>
      </c>
      <c r="M6" s="51">
        <f t="shared" ref="M6" ca="1" si="1">IFERROR(FORECAST(M3,OFFSET($A$3,MATCH(M3,$C$3:$C$72,1)-1,0,2),OFFSET($C$3,MATCH(M3,$C$3:$C$72,1)-1,0,2)),"-")</f>
        <v>108.85</v>
      </c>
    </row>
    <row r="7" spans="1:13" ht="13.5" x14ac:dyDescent="0.2">
      <c r="A7" s="51">
        <v>-12</v>
      </c>
      <c r="B7" s="51" t="s">
        <v>181</v>
      </c>
      <c r="C7" s="51">
        <v>3.6400000000000006</v>
      </c>
      <c r="D7" s="51">
        <v>15.18</v>
      </c>
      <c r="E7" s="51" t="s">
        <v>181</v>
      </c>
      <c r="F7" s="51">
        <v>1.1300000000000008</v>
      </c>
      <c r="G7" s="51">
        <v>6.82</v>
      </c>
      <c r="H7" s="51">
        <v>7.84</v>
      </c>
      <c r="J7" s="43" t="s">
        <v>176</v>
      </c>
      <c r="K7" s="51">
        <f ca="1">IFERROR(FORECAST(K3,OFFSET($A$3,MATCH(K3,$D$3:$D$113,1)-1,0,2),OFFSET($D$3,MATCH(K3,$D$3:$D$113,1)-1,0,2)),"-")</f>
        <v>82.65306122448979</v>
      </c>
      <c r="L7" s="51">
        <f ca="1">IFERROR(FORECAST(L3,OFFSET($A$3,MATCH(L3,$D$3:$D$113,1)-1,0,2),OFFSET($D$3,MATCH(L3,$D$3:$D$113,1)-1,0,2)),"-")</f>
        <v>59.081081081081088</v>
      </c>
      <c r="M7" s="51">
        <f t="shared" ref="M7" ca="1" si="2">IFERROR(FORECAST(M3,OFFSET($A$3,MATCH(M3,$D$3:$D$72,1)-1,0,2),OFFSET($D$3,MATCH(M3,$D$3:$D$72,1)-1,0,2)),"-")</f>
        <v>75.77272727272728</v>
      </c>
    </row>
    <row r="8" spans="1:13" ht="13.5" x14ac:dyDescent="0.2">
      <c r="A8" s="51">
        <v>-10</v>
      </c>
      <c r="B8" s="51" t="s">
        <v>181</v>
      </c>
      <c r="C8" s="51">
        <v>4.4800000000000004</v>
      </c>
      <c r="D8" s="51">
        <v>16.54</v>
      </c>
      <c r="E8" s="51" t="s">
        <v>181</v>
      </c>
      <c r="F8" s="51">
        <v>1.9400000000000013</v>
      </c>
      <c r="G8" s="51">
        <v>7.8100000000000023</v>
      </c>
      <c r="H8" s="51">
        <v>9.02</v>
      </c>
      <c r="J8" s="43" t="s">
        <v>177</v>
      </c>
      <c r="K8" s="51" t="str">
        <f ca="1">IFERROR(FORECAST(K3,OFFSET($A$3,MATCH(K3,$E$3:$E$113,1)-1,0,2),OFFSET($E$3,MATCH(K3,$E$3:$E$113,1)-1,0,2)),"-")</f>
        <v>-</v>
      </c>
      <c r="L8" s="51" t="str">
        <f ca="1">IFERROR(FORECAST(L3,OFFSET($A$3,MATCH(L3,$E$3:$E$113,1)-1,0,2),OFFSET($E$3,MATCH(L3,$E$3:$E$113,1)-1,0,2)),"-")</f>
        <v>-</v>
      </c>
      <c r="M8" s="51">
        <f t="shared" ref="M8" ca="1" si="3">IFERROR(FORECAST(M3,OFFSET($A$3,MATCH(M3,$E$3:$E$72,1)-1,0,2),OFFSET($E$3,MATCH(M3,$E$3:$E$72,1)-1,0,2)),"-")</f>
        <v>355.42574257425781</v>
      </c>
    </row>
    <row r="9" spans="1:13" ht="13.5" x14ac:dyDescent="0.2">
      <c r="A9" s="51">
        <v>-8</v>
      </c>
      <c r="B9" s="51" t="s">
        <v>181</v>
      </c>
      <c r="C9" s="51">
        <v>5.3500000000000014</v>
      </c>
      <c r="D9" s="51">
        <v>17.940000000000001</v>
      </c>
      <c r="E9" s="51" t="s">
        <v>181</v>
      </c>
      <c r="F9" s="51">
        <v>2.7800000000000011</v>
      </c>
      <c r="G9" s="51">
        <v>8.8300000000000018</v>
      </c>
      <c r="H9" s="51">
        <v>10.25</v>
      </c>
      <c r="J9" s="43" t="s">
        <v>178</v>
      </c>
      <c r="K9" s="51">
        <f ca="1">IFERROR(FORECAST(K3,OFFSET($A$3,MATCH(K3,$F$3:$F$113,1)-1,0,2),OFFSET($F$3,MATCH(K3,$F$3:$F$113,1)-1,0,2)),"-")</f>
        <v>111.48936170212764</v>
      </c>
      <c r="L9" s="51">
        <f ca="1">IFERROR(FORECAST(L3,OFFSET($A$3,MATCH(L3,$F$3:$F$113,1)-1,0,2),OFFSET($F$3,MATCH(L3,$F$3:$F$113,1)-1,0,2)),"-")</f>
        <v>87.611111111111114</v>
      </c>
      <c r="M9" s="51">
        <f t="shared" ref="M9" ca="1" si="4">IFERROR(FORECAST(M3,OFFSET($A$3,MATCH(M3,$F$3:$F$72,1)-1,0,2),OFFSET($F$3,MATCH(M3,$F$3:$F$72,1)-1,0,2)),"-")</f>
        <v>104.53333333333333</v>
      </c>
    </row>
    <row r="10" spans="1:13" ht="13.5" x14ac:dyDescent="0.2">
      <c r="A10" s="51">
        <v>-6</v>
      </c>
      <c r="B10" s="51" t="s">
        <v>181</v>
      </c>
      <c r="C10" s="51">
        <v>6.25</v>
      </c>
      <c r="D10" s="51">
        <v>19.390000000000004</v>
      </c>
      <c r="E10" s="51" t="s">
        <v>181</v>
      </c>
      <c r="F10" s="51">
        <v>3.66</v>
      </c>
      <c r="G10" s="51">
        <v>9.879999999999999</v>
      </c>
      <c r="H10" s="51">
        <v>11.54</v>
      </c>
      <c r="J10" s="43" t="s">
        <v>179</v>
      </c>
      <c r="K10" s="51">
        <f ca="1">IFERROR(FORECAST(K3,OFFSET($A$3,MATCH(K3,$G$3:$G$113,1)-1,0,2),OFFSET($G$3,MATCH(K3,$G$3:$G$113,1)-1,0,2)),"-")</f>
        <v>104</v>
      </c>
      <c r="L10" s="51">
        <f ca="1">IFERROR(FORECAST(L3,OFFSET($A$3,MATCH(L3,$G$3:$G$113,1)-1,0,2),OFFSET($G$3,MATCH(L3,$G$3:$G$113,1)-1,0,2)),"-")</f>
        <v>78.882352941176478</v>
      </c>
      <c r="M10" s="51">
        <f t="shared" ref="M10" ca="1" si="5">IFERROR(FORECAST(M3,OFFSET($A$3,MATCH(M3,$G$3:$G$72,1)-1,0,2),OFFSET($G$3,MATCH(M3,$G$3:$G$72,1)-1,0,2)),"-")</f>
        <v>96.666666666666657</v>
      </c>
    </row>
    <row r="11" spans="1:13" ht="13.5" x14ac:dyDescent="0.2">
      <c r="A11" s="51">
        <v>-4</v>
      </c>
      <c r="B11" s="51" t="s">
        <v>181</v>
      </c>
      <c r="C11" s="51">
        <v>7.18</v>
      </c>
      <c r="D11" s="51">
        <v>20.890000000000004</v>
      </c>
      <c r="E11" s="51" t="s">
        <v>181</v>
      </c>
      <c r="F11" s="51">
        <v>4.5600000000000023</v>
      </c>
      <c r="G11" s="51">
        <v>10.970000000000002</v>
      </c>
      <c r="H11" s="51">
        <v>12.870000000000001</v>
      </c>
      <c r="J11" s="52" t="s">
        <v>180</v>
      </c>
      <c r="K11" s="53">
        <f ca="1">IFERROR(FORECAST(K3,OFFSET($A$3,MATCH(K3,$H$3:$H$113,1)-1,0,2),OFFSET($H$3,MATCH(K3,$H$3:$H$113,1)-1,0,2)),"-")</f>
        <v>84.327272727272714</v>
      </c>
      <c r="L11" s="53">
        <f ca="1">IFERROR(FORECAST(L3,OFFSET($A$3,MATCH(L3,$H$3:$H$113,1)-1,0,2),OFFSET($H$3,MATCH(L3,$H$3:$H$113,1)-1,0,2)),"-")</f>
        <v>63.463414634146346</v>
      </c>
      <c r="M11" s="53">
        <f t="shared" ref="M11" ca="1" si="6">IFERROR(FORECAST(M3,OFFSET($A$3,MATCH(M3,$H$3:$H$72,1)-1,0,2),OFFSET($H$3,MATCH(M3,$H$3:$H$72,1)-1,0,2)),"-")</f>
        <v>78.235294117647072</v>
      </c>
    </row>
    <row r="12" spans="1:13" ht="13.5" x14ac:dyDescent="0.2">
      <c r="A12" s="51">
        <v>-2</v>
      </c>
      <c r="B12" s="51" t="s">
        <v>181</v>
      </c>
      <c r="C12" s="51">
        <v>8.14</v>
      </c>
      <c r="D12" s="51">
        <v>22.44</v>
      </c>
      <c r="E12" s="51" t="s">
        <v>181</v>
      </c>
      <c r="F12" s="51">
        <v>5.5100000000000016</v>
      </c>
      <c r="G12" s="51">
        <v>12.100000000000001</v>
      </c>
      <c r="H12" s="51">
        <v>14.260000000000002</v>
      </c>
    </row>
    <row r="13" spans="1:13" ht="13.5" x14ac:dyDescent="0.2">
      <c r="A13" s="51">
        <v>0</v>
      </c>
      <c r="B13" s="51" t="s">
        <v>181</v>
      </c>
      <c r="C13" s="51">
        <v>9.129999999999999</v>
      </c>
      <c r="D13" s="51">
        <v>24.040000000000003</v>
      </c>
      <c r="E13" s="51" t="s">
        <v>181</v>
      </c>
      <c r="F13" s="51">
        <v>6.48</v>
      </c>
      <c r="G13" s="51">
        <v>13.27</v>
      </c>
      <c r="H13" s="51">
        <v>15.7</v>
      </c>
    </row>
    <row r="14" spans="1:13" ht="13.5" x14ac:dyDescent="0.2">
      <c r="A14" s="51">
        <v>2</v>
      </c>
      <c r="B14" s="51" t="s">
        <v>181</v>
      </c>
      <c r="C14" s="51">
        <v>10.16</v>
      </c>
      <c r="D14" s="51">
        <v>25.69</v>
      </c>
      <c r="E14" s="51" t="s">
        <v>181</v>
      </c>
      <c r="F14" s="51">
        <v>7.5</v>
      </c>
      <c r="G14" s="51">
        <v>14.470000000000002</v>
      </c>
      <c r="H14" s="51">
        <v>17.2</v>
      </c>
    </row>
    <row r="15" spans="1:13" ht="13.5" x14ac:dyDescent="0.2">
      <c r="A15" s="51">
        <v>4</v>
      </c>
      <c r="B15" s="51" t="s">
        <v>181</v>
      </c>
      <c r="C15" s="51">
        <v>11.220000000000002</v>
      </c>
      <c r="D15" s="51">
        <v>27.400000000000002</v>
      </c>
      <c r="E15" s="51" t="s">
        <v>181</v>
      </c>
      <c r="F15" s="51">
        <v>8.5500000000000007</v>
      </c>
      <c r="G15" s="51">
        <v>15.720000000000002</v>
      </c>
      <c r="H15" s="51">
        <v>18.760000000000002</v>
      </c>
    </row>
    <row r="16" spans="1:13" ht="13.5" x14ac:dyDescent="0.2">
      <c r="A16" s="51">
        <v>6</v>
      </c>
      <c r="B16" s="51" t="s">
        <v>181</v>
      </c>
      <c r="C16" s="51">
        <v>12.32</v>
      </c>
      <c r="D16" s="51">
        <v>29.16</v>
      </c>
      <c r="E16" s="51" t="s">
        <v>181</v>
      </c>
      <c r="F16" s="51">
        <v>9.64</v>
      </c>
      <c r="G16" s="51">
        <v>17.010000000000002</v>
      </c>
      <c r="H16" s="51">
        <v>20.38</v>
      </c>
    </row>
    <row r="17" spans="1:8" ht="13.5" x14ac:dyDescent="0.2">
      <c r="A17" s="51">
        <v>8</v>
      </c>
      <c r="B17" s="51" t="s">
        <v>181</v>
      </c>
      <c r="C17" s="51">
        <v>13.45</v>
      </c>
      <c r="D17" s="51">
        <v>30.970000000000002</v>
      </c>
      <c r="E17" s="51" t="s">
        <v>181</v>
      </c>
      <c r="F17" s="51">
        <v>10.77</v>
      </c>
      <c r="G17" s="51">
        <v>18.34</v>
      </c>
      <c r="H17" s="51">
        <v>22.05</v>
      </c>
    </row>
    <row r="18" spans="1:8" ht="13.5" x14ac:dyDescent="0.2">
      <c r="A18" s="51">
        <v>10</v>
      </c>
      <c r="B18" s="51" t="s">
        <v>181</v>
      </c>
      <c r="C18" s="51">
        <v>14.620000000000001</v>
      </c>
      <c r="D18" s="51">
        <v>32.849999999999994</v>
      </c>
      <c r="E18" s="51" t="s">
        <v>181</v>
      </c>
      <c r="F18" s="51">
        <v>11.95</v>
      </c>
      <c r="G18" s="51">
        <v>19.709999999999997</v>
      </c>
      <c r="H18" s="51">
        <v>23.8</v>
      </c>
    </row>
    <row r="19" spans="1:8" ht="13.5" x14ac:dyDescent="0.2">
      <c r="A19" s="51">
        <v>12</v>
      </c>
      <c r="B19" s="51" t="s">
        <v>181</v>
      </c>
      <c r="C19" s="51">
        <v>15.82</v>
      </c>
      <c r="D19" s="51">
        <v>34.78</v>
      </c>
      <c r="E19" s="51" t="s">
        <v>181</v>
      </c>
      <c r="F19" s="51">
        <v>13.16</v>
      </c>
      <c r="G19" s="51">
        <v>21.12</v>
      </c>
      <c r="H19" s="51">
        <v>25.599999999999998</v>
      </c>
    </row>
    <row r="20" spans="1:8" ht="13.5" x14ac:dyDescent="0.2">
      <c r="A20" s="51">
        <v>14</v>
      </c>
      <c r="B20" s="51" t="s">
        <v>181</v>
      </c>
      <c r="C20" s="51">
        <v>17.060000000000002</v>
      </c>
      <c r="D20" s="51">
        <v>36.769999999999996</v>
      </c>
      <c r="E20" s="51" t="s">
        <v>181</v>
      </c>
      <c r="F20" s="51">
        <v>14.41</v>
      </c>
      <c r="G20" s="51">
        <v>22.580000000000002</v>
      </c>
      <c r="H20" s="51">
        <v>27.48</v>
      </c>
    </row>
    <row r="21" spans="1:8" ht="13.5" x14ac:dyDescent="0.2">
      <c r="A21" s="51">
        <v>16</v>
      </c>
      <c r="B21" s="51" t="s">
        <v>181</v>
      </c>
      <c r="C21" s="51">
        <v>18.34</v>
      </c>
      <c r="D21" s="51">
        <v>38.820000000000007</v>
      </c>
      <c r="E21" s="51" t="s">
        <v>181</v>
      </c>
      <c r="F21" s="51">
        <v>15.71</v>
      </c>
      <c r="G21" s="51">
        <v>24.09</v>
      </c>
      <c r="H21" s="51">
        <v>29.419999999999998</v>
      </c>
    </row>
    <row r="22" spans="1:8" ht="13.5" x14ac:dyDescent="0.2">
      <c r="A22" s="51">
        <v>18</v>
      </c>
      <c r="B22" s="51" t="s">
        <v>181</v>
      </c>
      <c r="C22" s="51">
        <v>19.66</v>
      </c>
      <c r="D22" s="51">
        <v>40.94</v>
      </c>
      <c r="E22" s="51" t="s">
        <v>181</v>
      </c>
      <c r="F22" s="51">
        <v>17.060000000000002</v>
      </c>
      <c r="G22" s="51">
        <v>25.640000000000004</v>
      </c>
      <c r="H22" s="51">
        <v>31.430000000000003</v>
      </c>
    </row>
    <row r="23" spans="1:8" ht="13.5" x14ac:dyDescent="0.2">
      <c r="A23" s="51">
        <v>20</v>
      </c>
      <c r="B23" s="51" t="s">
        <v>181</v>
      </c>
      <c r="C23" s="51">
        <v>21.02</v>
      </c>
      <c r="D23" s="51">
        <v>43.11</v>
      </c>
      <c r="E23" s="51" t="s">
        <v>181</v>
      </c>
      <c r="F23" s="51">
        <v>18.45</v>
      </c>
      <c r="G23" s="51">
        <v>27.24</v>
      </c>
      <c r="H23" s="51">
        <v>33.510000000000005</v>
      </c>
    </row>
    <row r="24" spans="1:8" ht="13.5" x14ac:dyDescent="0.2">
      <c r="A24" s="51">
        <v>22</v>
      </c>
      <c r="B24" s="51" t="s">
        <v>181</v>
      </c>
      <c r="C24" s="51">
        <v>22.41</v>
      </c>
      <c r="D24" s="51">
        <v>45.349999999999994</v>
      </c>
      <c r="E24" s="51" t="s">
        <v>181</v>
      </c>
      <c r="F24" s="51">
        <v>19.88</v>
      </c>
      <c r="G24" s="51">
        <v>28.88</v>
      </c>
      <c r="H24" s="51">
        <v>35.659999999999997</v>
      </c>
    </row>
    <row r="25" spans="1:8" ht="13.5" x14ac:dyDescent="0.2">
      <c r="A25" s="51">
        <v>24</v>
      </c>
      <c r="B25" s="51" t="s">
        <v>181</v>
      </c>
      <c r="C25" s="51">
        <v>23.849999999999998</v>
      </c>
      <c r="D25" s="51">
        <v>47.650000000000006</v>
      </c>
      <c r="E25" s="51" t="s">
        <v>181</v>
      </c>
      <c r="F25" s="51">
        <v>21.37</v>
      </c>
      <c r="G25" s="51">
        <v>30.580000000000002</v>
      </c>
      <c r="H25" s="51">
        <v>37.900000000000006</v>
      </c>
    </row>
    <row r="26" spans="1:8" ht="13.5" x14ac:dyDescent="0.2">
      <c r="A26" s="51">
        <v>26</v>
      </c>
      <c r="B26" s="51" t="s">
        <v>181</v>
      </c>
      <c r="C26" s="51">
        <v>25.330000000000002</v>
      </c>
      <c r="D26" s="51">
        <v>50.03</v>
      </c>
      <c r="E26" s="51" t="s">
        <v>181</v>
      </c>
      <c r="F26" s="51">
        <v>22.900000000000002</v>
      </c>
      <c r="G26" s="51">
        <v>32.320000000000007</v>
      </c>
      <c r="H26" s="51">
        <v>40.200000000000003</v>
      </c>
    </row>
    <row r="27" spans="1:8" ht="13.5" x14ac:dyDescent="0.2">
      <c r="A27" s="51">
        <v>28</v>
      </c>
      <c r="B27" s="51" t="s">
        <v>181</v>
      </c>
      <c r="C27" s="51">
        <v>26.860000000000003</v>
      </c>
      <c r="D27" s="51">
        <v>52.459999999999994</v>
      </c>
      <c r="E27" s="51" t="s">
        <v>181</v>
      </c>
      <c r="F27" s="51">
        <v>24.48</v>
      </c>
      <c r="G27" s="51">
        <v>34.120000000000005</v>
      </c>
      <c r="H27" s="51">
        <v>42.59</v>
      </c>
    </row>
    <row r="28" spans="1:8" ht="13.5" x14ac:dyDescent="0.2">
      <c r="A28" s="51">
        <v>30</v>
      </c>
      <c r="B28" s="51" t="s">
        <v>181</v>
      </c>
      <c r="C28" s="51">
        <v>28.419999999999998</v>
      </c>
      <c r="D28" s="51">
        <v>54.97</v>
      </c>
      <c r="E28" s="51" t="s">
        <v>181</v>
      </c>
      <c r="F28" s="51">
        <v>26.110000000000003</v>
      </c>
      <c r="G28" s="51">
        <v>35.97</v>
      </c>
      <c r="H28" s="51">
        <v>45.05</v>
      </c>
    </row>
    <row r="29" spans="1:8" ht="13.5" x14ac:dyDescent="0.2">
      <c r="A29" s="51">
        <v>32</v>
      </c>
      <c r="B29" s="51" t="s">
        <v>181</v>
      </c>
      <c r="C29" s="51">
        <v>30.040000000000003</v>
      </c>
      <c r="D29" s="51">
        <v>57.55</v>
      </c>
      <c r="E29" s="51" t="s">
        <v>181</v>
      </c>
      <c r="F29" s="51">
        <v>27.8</v>
      </c>
      <c r="G29" s="51">
        <v>37.870000000000005</v>
      </c>
      <c r="H29" s="51">
        <v>47.599999999999994</v>
      </c>
    </row>
    <row r="30" spans="1:8" ht="13.5" x14ac:dyDescent="0.2">
      <c r="A30" s="51">
        <v>34</v>
      </c>
      <c r="B30" s="51" t="s">
        <v>181</v>
      </c>
      <c r="C30" s="51">
        <v>31.69</v>
      </c>
      <c r="D30" s="51">
        <v>60.2</v>
      </c>
      <c r="E30" s="51" t="s">
        <v>181</v>
      </c>
      <c r="F30" s="51">
        <v>29.529999999999998</v>
      </c>
      <c r="G30" s="51">
        <v>39.820000000000007</v>
      </c>
      <c r="H30" s="51">
        <v>50.230000000000004</v>
      </c>
    </row>
    <row r="31" spans="1:8" ht="13.5" x14ac:dyDescent="0.2">
      <c r="A31" s="51">
        <v>36</v>
      </c>
      <c r="B31" s="51" t="s">
        <v>181</v>
      </c>
      <c r="C31" s="51">
        <v>33.39</v>
      </c>
      <c r="D31" s="51">
        <v>62.92</v>
      </c>
      <c r="E31" s="51" t="s">
        <v>181</v>
      </c>
      <c r="F31" s="51">
        <v>31.330000000000002</v>
      </c>
      <c r="G31" s="51">
        <v>41.83</v>
      </c>
      <c r="H31" s="51">
        <v>52.95</v>
      </c>
    </row>
    <row r="32" spans="1:8" ht="13.5" x14ac:dyDescent="0.2">
      <c r="A32" s="51">
        <v>38</v>
      </c>
      <c r="B32" s="51" t="s">
        <v>181</v>
      </c>
      <c r="C32" s="51">
        <v>35.14</v>
      </c>
      <c r="D32" s="51">
        <v>65.709999999999994</v>
      </c>
      <c r="E32" s="51" t="s">
        <v>181</v>
      </c>
      <c r="F32" s="51">
        <v>33.17</v>
      </c>
      <c r="G32" s="51">
        <v>43.900000000000006</v>
      </c>
      <c r="H32" s="51">
        <v>55.759999999999991</v>
      </c>
    </row>
    <row r="33" spans="1:8" ht="13.5" x14ac:dyDescent="0.2">
      <c r="A33" s="51">
        <v>40</v>
      </c>
      <c r="B33" s="51" t="s">
        <v>181</v>
      </c>
      <c r="C33" s="51">
        <v>36.94</v>
      </c>
      <c r="D33" s="51">
        <v>68.58</v>
      </c>
      <c r="E33" s="51" t="s">
        <v>181</v>
      </c>
      <c r="F33" s="51">
        <v>35.08</v>
      </c>
      <c r="G33" s="51">
        <v>46.019999999999996</v>
      </c>
      <c r="H33" s="51">
        <v>58.649999999999991</v>
      </c>
    </row>
    <row r="34" spans="1:8" ht="13.5" x14ac:dyDescent="0.2">
      <c r="A34" s="51">
        <v>42</v>
      </c>
      <c r="B34" s="51" t="s">
        <v>181</v>
      </c>
      <c r="C34" s="51">
        <v>38.78</v>
      </c>
      <c r="D34" s="51">
        <v>71.53</v>
      </c>
      <c r="E34" s="51" t="s">
        <v>181</v>
      </c>
      <c r="F34" s="51">
        <v>37.040000000000006</v>
      </c>
      <c r="G34" s="51">
        <v>48.2</v>
      </c>
      <c r="H34" s="51">
        <v>61.64</v>
      </c>
    </row>
    <row r="35" spans="1:8" ht="13.5" x14ac:dyDescent="0.2">
      <c r="A35" s="51">
        <v>44</v>
      </c>
      <c r="B35" s="51" t="s">
        <v>181</v>
      </c>
      <c r="C35" s="51">
        <v>40.680000000000007</v>
      </c>
      <c r="D35" s="51">
        <v>74.55</v>
      </c>
      <c r="E35" s="51" t="s">
        <v>181</v>
      </c>
      <c r="F35" s="51">
        <v>39.06</v>
      </c>
      <c r="G35" s="51">
        <v>50.44</v>
      </c>
      <c r="H35" s="51">
        <v>64.72</v>
      </c>
    </row>
    <row r="36" spans="1:8" ht="13.5" x14ac:dyDescent="0.2">
      <c r="A36" s="51">
        <v>46</v>
      </c>
      <c r="B36" s="51" t="s">
        <v>181</v>
      </c>
      <c r="C36" s="51">
        <v>42.620000000000005</v>
      </c>
      <c r="D36" s="51">
        <v>77.649999999999991</v>
      </c>
      <c r="E36" s="51" t="s">
        <v>181</v>
      </c>
      <c r="F36" s="51">
        <v>41.129999999999995</v>
      </c>
      <c r="G36" s="51">
        <v>52.739999999999995</v>
      </c>
      <c r="H36" s="51">
        <v>67.899999999999991</v>
      </c>
    </row>
    <row r="37" spans="1:8" ht="13.5" x14ac:dyDescent="0.2">
      <c r="A37" s="51">
        <v>48</v>
      </c>
      <c r="B37" s="51" t="s">
        <v>181</v>
      </c>
      <c r="C37" s="51">
        <v>44.620000000000005</v>
      </c>
      <c r="D37" s="51">
        <v>80.83</v>
      </c>
      <c r="E37" s="51" t="s">
        <v>181</v>
      </c>
      <c r="F37" s="51">
        <v>43.269999999999996</v>
      </c>
      <c r="G37" s="51">
        <v>55.099999999999994</v>
      </c>
      <c r="H37" s="51">
        <v>71.17</v>
      </c>
    </row>
    <row r="38" spans="1:8" ht="13.5" x14ac:dyDescent="0.2">
      <c r="A38" s="51">
        <v>50</v>
      </c>
      <c r="B38" s="51" t="s">
        <v>181</v>
      </c>
      <c r="C38" s="51">
        <v>46.66</v>
      </c>
      <c r="D38" s="51">
        <v>84.09</v>
      </c>
      <c r="E38" s="51" t="s">
        <v>181</v>
      </c>
      <c r="F38" s="51">
        <v>45.47</v>
      </c>
      <c r="G38" s="51">
        <v>57.519999999999996</v>
      </c>
      <c r="H38" s="51">
        <v>74.539999999999992</v>
      </c>
    </row>
    <row r="39" spans="1:8" ht="13.5" x14ac:dyDescent="0.2">
      <c r="A39" s="51">
        <v>52</v>
      </c>
      <c r="B39" s="51" t="s">
        <v>181</v>
      </c>
      <c r="C39" s="51">
        <v>48.760000000000005</v>
      </c>
      <c r="D39" s="51">
        <v>87.399999999999991</v>
      </c>
      <c r="E39" s="51" t="s">
        <v>181</v>
      </c>
      <c r="F39" s="51">
        <v>47.739999999999995</v>
      </c>
      <c r="G39" s="51">
        <v>60</v>
      </c>
      <c r="H39" s="51">
        <v>78.02</v>
      </c>
    </row>
    <row r="40" spans="1:8" ht="13.5" x14ac:dyDescent="0.2">
      <c r="A40" s="51">
        <v>54</v>
      </c>
      <c r="B40" s="51" t="s">
        <v>181</v>
      </c>
      <c r="C40" s="51">
        <v>50.91</v>
      </c>
      <c r="D40" s="51">
        <v>90.899999999999991</v>
      </c>
      <c r="E40" s="51" t="s">
        <v>181</v>
      </c>
      <c r="F40" s="51">
        <v>50.069999999999993</v>
      </c>
      <c r="G40" s="51">
        <v>62.55</v>
      </c>
      <c r="H40" s="51">
        <v>81.59</v>
      </c>
    </row>
    <row r="41" spans="1:8" ht="13.5" x14ac:dyDescent="0.2">
      <c r="A41" s="51">
        <v>56</v>
      </c>
      <c r="B41" s="51" t="s">
        <v>181</v>
      </c>
      <c r="C41" s="51">
        <v>53.11999999999999</v>
      </c>
      <c r="D41" s="51">
        <v>94.399999999999991</v>
      </c>
      <c r="E41" s="51" t="s">
        <v>181</v>
      </c>
      <c r="F41" s="51">
        <v>52.459999999999994</v>
      </c>
      <c r="G41" s="51">
        <v>65.16</v>
      </c>
      <c r="H41" s="51">
        <v>85.28</v>
      </c>
    </row>
    <row r="42" spans="1:8" ht="13.5" x14ac:dyDescent="0.2">
      <c r="A42" s="51">
        <v>58</v>
      </c>
      <c r="B42" s="51" t="s">
        <v>181</v>
      </c>
      <c r="C42" s="51">
        <v>55.379999999999995</v>
      </c>
      <c r="D42" s="51">
        <v>98</v>
      </c>
      <c r="E42" s="51" t="s">
        <v>181</v>
      </c>
      <c r="F42" s="51">
        <v>54.92</v>
      </c>
      <c r="G42" s="51">
        <v>67.84</v>
      </c>
      <c r="H42" s="51">
        <v>89.1</v>
      </c>
    </row>
    <row r="43" spans="1:8" ht="13.5" x14ac:dyDescent="0.2">
      <c r="A43" s="51">
        <v>60</v>
      </c>
      <c r="B43" s="51" t="s">
        <v>181</v>
      </c>
      <c r="C43" s="51">
        <v>57.7</v>
      </c>
      <c r="D43" s="51">
        <v>101.7</v>
      </c>
      <c r="E43" s="51" t="s">
        <v>181</v>
      </c>
      <c r="F43" s="51">
        <v>57.45</v>
      </c>
      <c r="G43" s="51">
        <v>70.58</v>
      </c>
      <c r="H43" s="51">
        <v>93</v>
      </c>
    </row>
    <row r="44" spans="1:8" ht="13.5" x14ac:dyDescent="0.2">
      <c r="A44" s="51">
        <v>62</v>
      </c>
      <c r="B44" s="51" t="s">
        <v>181</v>
      </c>
      <c r="C44" s="51">
        <v>60.069999999999993</v>
      </c>
      <c r="D44" s="51">
        <v>105.5</v>
      </c>
      <c r="E44" s="51" t="s">
        <v>181</v>
      </c>
      <c r="F44" s="51">
        <v>60.05</v>
      </c>
      <c r="G44" s="51">
        <v>73.399999999999991</v>
      </c>
      <c r="H44" s="51">
        <v>97</v>
      </c>
    </row>
    <row r="45" spans="1:8" ht="13.5" x14ac:dyDescent="0.2">
      <c r="A45" s="51">
        <v>64</v>
      </c>
      <c r="B45" s="51" t="s">
        <v>181</v>
      </c>
      <c r="C45" s="51">
        <v>62.5</v>
      </c>
      <c r="D45" s="51">
        <v>109.3</v>
      </c>
      <c r="E45" s="51" t="s">
        <v>181</v>
      </c>
      <c r="F45" s="51">
        <v>62.72</v>
      </c>
      <c r="G45" s="51">
        <v>76.28</v>
      </c>
      <c r="H45" s="51">
        <v>101.1</v>
      </c>
    </row>
    <row r="46" spans="1:8" ht="13.5" x14ac:dyDescent="0.2">
      <c r="A46" s="51">
        <v>66</v>
      </c>
      <c r="B46" s="51" t="s">
        <v>181</v>
      </c>
      <c r="C46" s="51">
        <v>64.989999999999995</v>
      </c>
      <c r="D46" s="51">
        <v>113.3</v>
      </c>
      <c r="E46" s="51" t="s">
        <v>181</v>
      </c>
      <c r="F46" s="51">
        <v>65.459999999999994</v>
      </c>
      <c r="G46" s="51">
        <v>79.23</v>
      </c>
      <c r="H46" s="51">
        <v>105.3</v>
      </c>
    </row>
    <row r="47" spans="1:8" ht="13.5" x14ac:dyDescent="0.2">
      <c r="A47" s="51">
        <v>68</v>
      </c>
      <c r="B47" s="51" t="s">
        <v>181</v>
      </c>
      <c r="C47" s="51">
        <v>67.539999999999992</v>
      </c>
      <c r="D47" s="51">
        <v>117.3</v>
      </c>
      <c r="E47" s="51" t="s">
        <v>181</v>
      </c>
      <c r="F47" s="51">
        <v>68.27</v>
      </c>
      <c r="G47" s="51">
        <v>82.25</v>
      </c>
      <c r="H47" s="51">
        <v>109.7</v>
      </c>
    </row>
    <row r="48" spans="1:8" ht="13.5" x14ac:dyDescent="0.2">
      <c r="A48" s="51">
        <v>70</v>
      </c>
      <c r="B48" s="51" t="s">
        <v>181</v>
      </c>
      <c r="C48" s="51">
        <v>70.149999999999991</v>
      </c>
      <c r="D48" s="51">
        <v>121.49999999999999</v>
      </c>
      <c r="E48" s="51" t="s">
        <v>181</v>
      </c>
      <c r="F48" s="51">
        <v>71.16</v>
      </c>
      <c r="G48" s="51">
        <v>85.3</v>
      </c>
      <c r="H48" s="51">
        <v>114.2</v>
      </c>
    </row>
    <row r="49" spans="1:8" ht="13.5" x14ac:dyDescent="0.2">
      <c r="A49" s="51">
        <v>72</v>
      </c>
      <c r="B49" s="51" t="s">
        <v>181</v>
      </c>
      <c r="C49" s="51">
        <v>72.819999999999993</v>
      </c>
      <c r="D49" s="51">
        <v>125.7</v>
      </c>
      <c r="E49" s="51" t="s">
        <v>181</v>
      </c>
      <c r="F49" s="51">
        <v>74.11999999999999</v>
      </c>
      <c r="G49" s="51">
        <v>88.5</v>
      </c>
      <c r="H49" s="51">
        <v>118.8</v>
      </c>
    </row>
    <row r="50" spans="1:8" ht="13.5" x14ac:dyDescent="0.2">
      <c r="A50" s="51">
        <v>74</v>
      </c>
      <c r="B50" s="51" t="s">
        <v>181</v>
      </c>
      <c r="C50" s="51">
        <v>75.55</v>
      </c>
      <c r="D50" s="51">
        <v>130.10000000000002</v>
      </c>
      <c r="E50" s="51" t="s">
        <v>181</v>
      </c>
      <c r="F50" s="51">
        <v>77.16</v>
      </c>
      <c r="G50" s="51">
        <v>91.7</v>
      </c>
      <c r="H50" s="51">
        <v>123.49999999999999</v>
      </c>
    </row>
    <row r="51" spans="1:8" ht="13.5" x14ac:dyDescent="0.2">
      <c r="A51" s="51">
        <v>76</v>
      </c>
      <c r="B51" s="51">
        <v>0.32000000000000028</v>
      </c>
      <c r="C51" s="51">
        <v>78.34</v>
      </c>
      <c r="D51" s="51">
        <v>134.5</v>
      </c>
      <c r="E51" s="51" t="s">
        <v>181</v>
      </c>
      <c r="F51" s="51">
        <v>80.28</v>
      </c>
      <c r="G51" s="51">
        <v>95.1</v>
      </c>
      <c r="H51" s="51">
        <v>128.4</v>
      </c>
    </row>
    <row r="52" spans="1:8" ht="13.5" x14ac:dyDescent="0.2">
      <c r="A52" s="51">
        <v>78</v>
      </c>
      <c r="B52" s="51">
        <v>0.91999999999999993</v>
      </c>
      <c r="C52" s="51">
        <v>81.2</v>
      </c>
      <c r="D52" s="51">
        <v>139</v>
      </c>
      <c r="E52" s="51" t="s">
        <v>181</v>
      </c>
      <c r="F52" s="51">
        <v>83.47</v>
      </c>
      <c r="G52" s="51">
        <v>98.5</v>
      </c>
      <c r="H52" s="51">
        <v>133.4</v>
      </c>
    </row>
    <row r="53" spans="1:8" ht="13.5" x14ac:dyDescent="0.2">
      <c r="A53" s="51">
        <v>80</v>
      </c>
      <c r="B53" s="51">
        <v>1.5300000000000011</v>
      </c>
      <c r="C53" s="51">
        <v>84.13</v>
      </c>
      <c r="D53" s="51">
        <v>143.70000000000002</v>
      </c>
      <c r="E53" s="51" t="s">
        <v>181</v>
      </c>
      <c r="F53" s="51">
        <v>86.7</v>
      </c>
      <c r="G53" s="51">
        <v>101.89999999999999</v>
      </c>
      <c r="H53" s="51">
        <v>138.5</v>
      </c>
    </row>
    <row r="54" spans="1:8" ht="13.5" x14ac:dyDescent="0.2">
      <c r="A54" s="51">
        <v>82</v>
      </c>
      <c r="B54" s="51">
        <v>2.16</v>
      </c>
      <c r="C54" s="51">
        <v>87.1</v>
      </c>
      <c r="D54" s="51">
        <v>148.4</v>
      </c>
      <c r="E54" s="51" t="s">
        <v>181</v>
      </c>
      <c r="F54" s="51">
        <v>90.1</v>
      </c>
      <c r="G54" s="51">
        <v>105.5</v>
      </c>
      <c r="H54" s="51">
        <v>143.70000000000002</v>
      </c>
    </row>
    <row r="55" spans="1:8" ht="13.5" x14ac:dyDescent="0.2">
      <c r="A55" s="51">
        <v>84</v>
      </c>
      <c r="B55" s="51">
        <v>2.8200000000000003</v>
      </c>
      <c r="C55" s="51">
        <v>90.2</v>
      </c>
      <c r="D55" s="51">
        <v>153.30000000000001</v>
      </c>
      <c r="E55" s="51">
        <v>0.58999999999999986</v>
      </c>
      <c r="F55" s="51">
        <v>93.5</v>
      </c>
      <c r="G55" s="51">
        <v>109.1</v>
      </c>
      <c r="H55" s="51">
        <v>149.10000000000002</v>
      </c>
    </row>
    <row r="56" spans="1:8" ht="13.5" x14ac:dyDescent="0.2">
      <c r="A56" s="51">
        <v>86</v>
      </c>
      <c r="B56" s="51">
        <v>3.490000000000002</v>
      </c>
      <c r="C56" s="51">
        <v>93.3</v>
      </c>
      <c r="D56" s="51">
        <v>158.20000000000002</v>
      </c>
      <c r="E56" s="51">
        <v>1.2100000000000009</v>
      </c>
      <c r="F56" s="51">
        <v>97.1</v>
      </c>
      <c r="G56" s="51">
        <v>112.8</v>
      </c>
      <c r="H56" s="51">
        <v>154.60000000000002</v>
      </c>
    </row>
    <row r="57" spans="1:8" ht="13.5" x14ac:dyDescent="0.2">
      <c r="A57" s="51">
        <v>88</v>
      </c>
      <c r="B57" s="51">
        <v>4.18</v>
      </c>
      <c r="C57" s="51">
        <v>96.5</v>
      </c>
      <c r="D57" s="51">
        <v>163.30000000000001</v>
      </c>
      <c r="E57" s="51">
        <v>1.8500000000000014</v>
      </c>
      <c r="F57" s="51">
        <v>100.7</v>
      </c>
      <c r="G57" s="51">
        <v>116.60000000000001</v>
      </c>
      <c r="H57" s="51">
        <v>160.30000000000001</v>
      </c>
    </row>
    <row r="58" spans="1:8" ht="13.5" x14ac:dyDescent="0.2">
      <c r="A58" s="51">
        <v>90</v>
      </c>
      <c r="B58" s="51">
        <v>4.8900000000000006</v>
      </c>
      <c r="C58" s="51">
        <v>99.7</v>
      </c>
      <c r="D58" s="51">
        <v>168.5</v>
      </c>
      <c r="E58" s="51">
        <v>2.5100000000000016</v>
      </c>
      <c r="F58" s="51">
        <v>104.39999999999999</v>
      </c>
      <c r="G58" s="51">
        <v>120.49999999999999</v>
      </c>
      <c r="H58" s="51">
        <v>166.10000000000002</v>
      </c>
    </row>
    <row r="59" spans="1:8" ht="13.5" x14ac:dyDescent="0.2">
      <c r="A59" s="51">
        <v>92</v>
      </c>
      <c r="B59" s="51">
        <v>5.620000000000001</v>
      </c>
      <c r="C59" s="51">
        <v>103.1</v>
      </c>
      <c r="D59" s="51">
        <v>173.70000000000002</v>
      </c>
      <c r="E59" s="51">
        <v>3.1900000000000013</v>
      </c>
      <c r="F59" s="51">
        <v>108.2</v>
      </c>
      <c r="G59" s="51">
        <v>124.39999999999999</v>
      </c>
      <c r="H59" s="51">
        <v>172</v>
      </c>
    </row>
    <row r="60" spans="1:8" ht="13.5" x14ac:dyDescent="0.2">
      <c r="A60" s="51">
        <v>94</v>
      </c>
      <c r="B60" s="51">
        <v>6.370000000000001</v>
      </c>
      <c r="C60" s="51">
        <v>106.5</v>
      </c>
      <c r="D60" s="51">
        <v>179.10000000000002</v>
      </c>
      <c r="E60" s="51">
        <v>3.9000000000000021</v>
      </c>
      <c r="F60" s="51">
        <v>112</v>
      </c>
      <c r="G60" s="51">
        <v>128.5</v>
      </c>
      <c r="H60" s="51">
        <v>178.10000000000002</v>
      </c>
    </row>
    <row r="61" spans="1:8" ht="13.5" x14ac:dyDescent="0.2">
      <c r="A61" s="51">
        <v>96</v>
      </c>
      <c r="B61" s="51">
        <v>7.1400000000000006</v>
      </c>
      <c r="C61" s="51">
        <v>109.89999999999999</v>
      </c>
      <c r="D61" s="51">
        <v>184.60000000000002</v>
      </c>
      <c r="E61" s="51">
        <v>4.620000000000001</v>
      </c>
      <c r="F61" s="51">
        <v>115.99999999999999</v>
      </c>
      <c r="G61" s="51">
        <v>132.60000000000002</v>
      </c>
      <c r="H61" s="51">
        <v>184.4</v>
      </c>
    </row>
    <row r="62" spans="1:8" ht="13.5" x14ac:dyDescent="0.2">
      <c r="A62" s="51">
        <v>98</v>
      </c>
      <c r="B62" s="51">
        <v>7.9400000000000013</v>
      </c>
      <c r="C62" s="51">
        <v>113.49999999999999</v>
      </c>
      <c r="D62" s="51">
        <v>190.3</v>
      </c>
      <c r="E62" s="51">
        <v>5.3599999999999994</v>
      </c>
      <c r="F62" s="51">
        <v>120.10000000000001</v>
      </c>
      <c r="G62" s="51">
        <v>136.80000000000001</v>
      </c>
      <c r="H62" s="51">
        <v>190.8</v>
      </c>
    </row>
    <row r="63" spans="1:8" ht="13.5" x14ac:dyDescent="0.2">
      <c r="A63" s="51">
        <v>100</v>
      </c>
      <c r="B63" s="51">
        <v>8.7600000000000016</v>
      </c>
      <c r="C63" s="51">
        <v>117.10000000000001</v>
      </c>
      <c r="D63" s="51">
        <v>196</v>
      </c>
      <c r="E63" s="51">
        <v>6.129999999999999</v>
      </c>
      <c r="F63" s="51">
        <v>124.2</v>
      </c>
      <c r="G63" s="51">
        <v>141.10000000000002</v>
      </c>
      <c r="H63" s="51">
        <v>197.3</v>
      </c>
    </row>
    <row r="64" spans="1:8" ht="13.5" x14ac:dyDescent="0.2">
      <c r="A64" s="51">
        <v>102</v>
      </c>
      <c r="B64" s="51">
        <v>9.6000000000000014</v>
      </c>
      <c r="C64" s="51">
        <v>120.8</v>
      </c>
      <c r="D64" s="51">
        <v>201.8</v>
      </c>
      <c r="E64" s="51">
        <v>6.9200000000000017</v>
      </c>
      <c r="F64" s="51">
        <v>128.5</v>
      </c>
      <c r="G64" s="51">
        <v>145.5</v>
      </c>
      <c r="H64" s="51">
        <v>204</v>
      </c>
    </row>
    <row r="65" spans="1:9" ht="13.5" x14ac:dyDescent="0.2">
      <c r="A65" s="51">
        <v>104</v>
      </c>
      <c r="B65" s="51">
        <v>10.46</v>
      </c>
      <c r="C65" s="51">
        <v>124.60000000000001</v>
      </c>
      <c r="D65" s="51">
        <v>207.8</v>
      </c>
      <c r="E65" s="51">
        <v>7.73</v>
      </c>
      <c r="F65" s="51">
        <v>132.80000000000001</v>
      </c>
      <c r="G65" s="51">
        <v>150</v>
      </c>
      <c r="H65" s="51">
        <v>210.9</v>
      </c>
    </row>
    <row r="66" spans="1:9" ht="13.5" x14ac:dyDescent="0.2">
      <c r="A66" s="51">
        <v>106</v>
      </c>
      <c r="B66" s="51">
        <v>11.350000000000001</v>
      </c>
      <c r="C66" s="51">
        <v>128.4</v>
      </c>
      <c r="D66" s="51">
        <v>213.9</v>
      </c>
      <c r="E66" s="51">
        <v>8.57</v>
      </c>
      <c r="F66" s="51">
        <v>137.30000000000001</v>
      </c>
      <c r="G66" s="51">
        <v>154.5</v>
      </c>
      <c r="H66" s="51">
        <v>217.9</v>
      </c>
    </row>
    <row r="67" spans="1:9" ht="13.5" x14ac:dyDescent="0.2">
      <c r="A67" s="51">
        <v>108</v>
      </c>
      <c r="B67" s="51">
        <v>12.260000000000002</v>
      </c>
      <c r="C67" s="51">
        <v>132.30000000000001</v>
      </c>
      <c r="D67" s="51">
        <v>220.10000000000002</v>
      </c>
      <c r="E67" s="51">
        <v>9.43</v>
      </c>
      <c r="F67" s="51">
        <v>141.80000000000001</v>
      </c>
      <c r="G67" s="51">
        <v>159.20000000000002</v>
      </c>
      <c r="H67" s="51">
        <v>225.10000000000002</v>
      </c>
    </row>
    <row r="68" spans="1:9" ht="13.5" x14ac:dyDescent="0.2">
      <c r="A68" s="51">
        <v>110</v>
      </c>
      <c r="B68" s="51">
        <v>13.190000000000001</v>
      </c>
      <c r="C68" s="51">
        <v>136.30000000000001</v>
      </c>
      <c r="D68" s="51">
        <v>226.4</v>
      </c>
      <c r="E68" s="51">
        <v>10.310000000000002</v>
      </c>
      <c r="F68" s="51">
        <v>146.5</v>
      </c>
      <c r="G68" s="51">
        <v>164</v>
      </c>
      <c r="H68" s="51">
        <v>232.5</v>
      </c>
    </row>
    <row r="69" spans="1:9" ht="13.5" x14ac:dyDescent="0.2">
      <c r="A69" s="51">
        <v>112</v>
      </c>
      <c r="B69" s="51">
        <v>14.150000000000002</v>
      </c>
      <c r="C69" s="51">
        <v>140.4</v>
      </c>
      <c r="D69" s="51">
        <v>232.9</v>
      </c>
      <c r="E69" s="51">
        <v>11.220000000000002</v>
      </c>
      <c r="F69" s="51">
        <v>151.20000000000002</v>
      </c>
      <c r="G69" s="51">
        <v>168.8</v>
      </c>
      <c r="H69" s="51">
        <v>240</v>
      </c>
    </row>
    <row r="70" spans="1:9" ht="13.5" x14ac:dyDescent="0.2">
      <c r="A70" s="51">
        <v>114</v>
      </c>
      <c r="B70" s="51">
        <v>15.129999999999999</v>
      </c>
      <c r="C70" s="51">
        <v>144.60000000000002</v>
      </c>
      <c r="D70" s="51">
        <v>239.5</v>
      </c>
      <c r="E70" s="51">
        <v>12.150000000000002</v>
      </c>
      <c r="F70" s="51">
        <v>156.10000000000002</v>
      </c>
      <c r="G70" s="51">
        <v>173.8</v>
      </c>
      <c r="H70" s="51">
        <v>247.7</v>
      </c>
      <c r="I70" s="37"/>
    </row>
    <row r="71" spans="1:9" ht="13.5" x14ac:dyDescent="0.2">
      <c r="A71" s="51">
        <v>116</v>
      </c>
      <c r="B71" s="51">
        <v>16.14</v>
      </c>
      <c r="C71" s="51">
        <v>148.80000000000001</v>
      </c>
      <c r="D71" s="51">
        <v>246.2</v>
      </c>
      <c r="E71" s="51">
        <v>13.11</v>
      </c>
      <c r="F71" s="51">
        <v>161</v>
      </c>
      <c r="G71" s="51">
        <v>178.8</v>
      </c>
      <c r="H71" s="51">
        <v>255.5</v>
      </c>
      <c r="I71" s="37"/>
    </row>
    <row r="72" spans="1:9" ht="13.5" x14ac:dyDescent="0.2">
      <c r="A72" s="51">
        <v>118</v>
      </c>
      <c r="B72" s="51">
        <v>17.18</v>
      </c>
      <c r="C72" s="51">
        <v>153.20000000000002</v>
      </c>
      <c r="D72" s="51">
        <v>253.10000000000002</v>
      </c>
      <c r="E72" s="51">
        <v>14.100000000000001</v>
      </c>
      <c r="F72" s="51">
        <v>166.10000000000002</v>
      </c>
      <c r="G72" s="51">
        <v>183.9</v>
      </c>
      <c r="H72" s="51">
        <v>263.60000000000002</v>
      </c>
      <c r="I72" s="37"/>
    </row>
    <row r="73" spans="1:9" ht="13.5" x14ac:dyDescent="0.2">
      <c r="A73" s="51">
        <v>120</v>
      </c>
      <c r="B73" s="51">
        <v>18.239999999999998</v>
      </c>
      <c r="C73" s="51">
        <v>157.60000000000002</v>
      </c>
      <c r="D73" s="51">
        <v>260</v>
      </c>
      <c r="E73" s="51">
        <v>15.11</v>
      </c>
      <c r="F73" s="51">
        <v>171.3</v>
      </c>
      <c r="G73" s="51">
        <v>189.20000000000002</v>
      </c>
      <c r="H73" s="51">
        <v>271.8</v>
      </c>
      <c r="I73" s="37"/>
    </row>
    <row r="74" spans="1:9" ht="13.5" x14ac:dyDescent="0.2">
      <c r="A74" s="51">
        <v>122</v>
      </c>
      <c r="B74" s="51">
        <v>19.330000000000002</v>
      </c>
      <c r="C74" s="51">
        <v>162.10000000000002</v>
      </c>
      <c r="D74" s="51">
        <v>267.2</v>
      </c>
      <c r="E74" s="51">
        <v>16.150000000000002</v>
      </c>
      <c r="F74" s="51">
        <v>176.5</v>
      </c>
      <c r="G74" s="51">
        <v>194.5</v>
      </c>
      <c r="H74" s="51">
        <v>280.2</v>
      </c>
      <c r="I74" s="37"/>
    </row>
    <row r="75" spans="1:9" ht="13.5" x14ac:dyDescent="0.2">
      <c r="A75" s="51">
        <v>124</v>
      </c>
      <c r="B75" s="51">
        <v>20.45</v>
      </c>
      <c r="C75" s="51">
        <v>166.70000000000002</v>
      </c>
      <c r="D75" s="51">
        <v>274.40000000000003</v>
      </c>
      <c r="E75" s="51">
        <v>17.220000000000002</v>
      </c>
      <c r="F75" s="51">
        <v>181.9</v>
      </c>
      <c r="G75" s="51">
        <v>200</v>
      </c>
      <c r="H75" s="51">
        <v>288.8</v>
      </c>
      <c r="I75" s="37"/>
    </row>
    <row r="76" spans="1:9" ht="13.5" x14ac:dyDescent="0.2">
      <c r="A76" s="51">
        <v>126</v>
      </c>
      <c r="B76" s="51">
        <v>21.59</v>
      </c>
      <c r="C76" s="51">
        <v>171.3</v>
      </c>
      <c r="D76" s="51">
        <v>281.8</v>
      </c>
      <c r="E76" s="51">
        <v>18.320000000000004</v>
      </c>
      <c r="F76" s="51">
        <v>187.5</v>
      </c>
      <c r="G76" s="51">
        <v>205.5</v>
      </c>
      <c r="H76" s="51">
        <v>297.60000000000002</v>
      </c>
      <c r="I76" s="37"/>
    </row>
    <row r="77" spans="1:9" ht="13.5" x14ac:dyDescent="0.2">
      <c r="A77" s="51">
        <v>128</v>
      </c>
      <c r="B77" s="51">
        <v>22.77</v>
      </c>
      <c r="C77" s="51">
        <v>176.10000000000002</v>
      </c>
      <c r="D77" s="51">
        <v>289.3</v>
      </c>
      <c r="E77" s="51">
        <v>19.440000000000001</v>
      </c>
      <c r="F77" s="51">
        <v>193.10000000000002</v>
      </c>
      <c r="G77" s="51">
        <v>211.20000000000002</v>
      </c>
      <c r="H77" s="51">
        <v>306.60000000000002</v>
      </c>
      <c r="I77" s="37"/>
    </row>
    <row r="78" spans="1:9" ht="13.5" x14ac:dyDescent="0.2">
      <c r="A78" s="51">
        <v>130</v>
      </c>
      <c r="B78" s="51">
        <v>23.970000000000002</v>
      </c>
      <c r="C78" s="51">
        <v>180.9</v>
      </c>
      <c r="D78" s="51">
        <v>297</v>
      </c>
      <c r="E78" s="51">
        <v>20.59</v>
      </c>
      <c r="F78" s="51">
        <v>198.8</v>
      </c>
      <c r="G78" s="51">
        <v>217</v>
      </c>
      <c r="H78" s="51">
        <v>315.7</v>
      </c>
      <c r="I78" s="37"/>
    </row>
    <row r="79" spans="1:9" ht="13.5" x14ac:dyDescent="0.2">
      <c r="A79" s="51">
        <v>132</v>
      </c>
      <c r="B79" s="51">
        <v>25.2</v>
      </c>
      <c r="C79" s="51">
        <v>185.9</v>
      </c>
      <c r="D79" s="51">
        <v>304.8</v>
      </c>
      <c r="E79" s="51">
        <v>21.779999999999998</v>
      </c>
      <c r="F79" s="51">
        <v>204.70000000000002</v>
      </c>
      <c r="G79" s="51">
        <v>222.8</v>
      </c>
      <c r="H79" s="51">
        <v>325.10000000000002</v>
      </c>
    </row>
    <row r="80" spans="1:9" ht="13.5" x14ac:dyDescent="0.2">
      <c r="A80" s="51">
        <v>134</v>
      </c>
      <c r="B80" s="51">
        <v>26.459999999999997</v>
      </c>
      <c r="C80" s="51">
        <v>190.9</v>
      </c>
      <c r="D80" s="51">
        <v>312.7</v>
      </c>
      <c r="E80" s="51">
        <v>22.99</v>
      </c>
      <c r="F80" s="51">
        <v>210.70000000000002</v>
      </c>
      <c r="G80" s="51">
        <v>228.8</v>
      </c>
      <c r="H80" s="51">
        <v>334.6</v>
      </c>
    </row>
    <row r="81" spans="1:8" ht="13.5" x14ac:dyDescent="0.2">
      <c r="A81" s="51">
        <v>136</v>
      </c>
      <c r="B81" s="51">
        <v>27.750000000000004</v>
      </c>
      <c r="C81" s="51">
        <v>196</v>
      </c>
      <c r="D81" s="51">
        <v>320.8</v>
      </c>
      <c r="E81" s="51">
        <v>24.24</v>
      </c>
      <c r="F81" s="51">
        <v>216.8</v>
      </c>
      <c r="G81" s="51">
        <v>234.9</v>
      </c>
      <c r="H81" s="51">
        <v>344.40000000000003</v>
      </c>
    </row>
    <row r="82" spans="1:8" ht="13.5" x14ac:dyDescent="0.2">
      <c r="A82" s="51">
        <v>138</v>
      </c>
      <c r="B82" s="51">
        <v>29.070000000000004</v>
      </c>
      <c r="C82" s="51">
        <v>201.20000000000002</v>
      </c>
      <c r="D82" s="51">
        <v>329.1</v>
      </c>
      <c r="E82" s="51">
        <v>25.51</v>
      </c>
      <c r="F82" s="51">
        <v>223</v>
      </c>
      <c r="G82" s="51">
        <v>241.10000000000002</v>
      </c>
      <c r="H82" s="51">
        <v>354.3</v>
      </c>
    </row>
    <row r="83" spans="1:8" ht="13.5" x14ac:dyDescent="0.2">
      <c r="A83" s="51">
        <v>140</v>
      </c>
      <c r="B83" s="51">
        <v>30.419999999999998</v>
      </c>
      <c r="C83" s="51">
        <v>206.5</v>
      </c>
      <c r="D83" s="51">
        <v>337.5</v>
      </c>
      <c r="E83" s="51">
        <v>26.820000000000004</v>
      </c>
      <c r="F83" s="51">
        <v>229.4</v>
      </c>
      <c r="G83" s="51">
        <v>247.40000000000003</v>
      </c>
      <c r="H83" s="51">
        <v>364.5</v>
      </c>
    </row>
    <row r="84" spans="1:8" ht="13.5" x14ac:dyDescent="0.2">
      <c r="A84" s="51">
        <v>142</v>
      </c>
      <c r="B84" s="51">
        <v>31.81</v>
      </c>
      <c r="C84" s="51">
        <v>211.9</v>
      </c>
      <c r="D84" s="51">
        <v>346</v>
      </c>
      <c r="E84" s="51">
        <v>28.16</v>
      </c>
      <c r="F84" s="51">
        <v>235.8</v>
      </c>
      <c r="G84" s="51">
        <v>253.8</v>
      </c>
      <c r="H84" s="51">
        <v>374.90000000000003</v>
      </c>
    </row>
    <row r="85" spans="1:8" ht="13.5" x14ac:dyDescent="0.2">
      <c r="A85" s="51">
        <v>144</v>
      </c>
      <c r="B85" s="51">
        <v>33.22</v>
      </c>
      <c r="C85" s="51">
        <v>217.4</v>
      </c>
      <c r="D85" s="51">
        <v>354.7</v>
      </c>
      <c r="E85" s="51">
        <v>29.529999999999998</v>
      </c>
      <c r="F85" s="51">
        <v>242.5</v>
      </c>
      <c r="G85" s="51">
        <v>260.40000000000003</v>
      </c>
      <c r="H85" s="51">
        <v>385.40000000000003</v>
      </c>
    </row>
    <row r="86" spans="1:8" ht="13.5" x14ac:dyDescent="0.2">
      <c r="A86" s="51">
        <v>146</v>
      </c>
      <c r="B86" s="51">
        <v>34.67</v>
      </c>
      <c r="C86" s="51">
        <v>223</v>
      </c>
      <c r="D86" s="51">
        <v>363.6</v>
      </c>
      <c r="E86" s="51">
        <v>30.930000000000003</v>
      </c>
      <c r="F86" s="51">
        <v>249.2</v>
      </c>
      <c r="G86" s="51">
        <v>267</v>
      </c>
      <c r="H86" s="51">
        <v>396.2</v>
      </c>
    </row>
    <row r="87" spans="1:8" ht="13.5" x14ac:dyDescent="0.2">
      <c r="A87" s="51">
        <v>148</v>
      </c>
      <c r="B87" s="51">
        <v>36.150000000000006</v>
      </c>
      <c r="C87" s="51">
        <v>228.70000000000002</v>
      </c>
      <c r="D87" s="51">
        <v>372.6</v>
      </c>
      <c r="E87" s="51">
        <v>32.370000000000005</v>
      </c>
      <c r="F87" s="51">
        <v>256.10000000000002</v>
      </c>
      <c r="G87" s="51">
        <v>273.8</v>
      </c>
      <c r="H87" s="51">
        <v>407.3</v>
      </c>
    </row>
    <row r="88" spans="1:8" ht="13.5" x14ac:dyDescent="0.2">
      <c r="A88" s="51">
        <v>150</v>
      </c>
      <c r="B88" s="51">
        <v>37.659999999999997</v>
      </c>
      <c r="C88" s="51">
        <v>234.5</v>
      </c>
      <c r="D88" s="51">
        <v>381.7</v>
      </c>
      <c r="E88" s="51">
        <v>33.840000000000003</v>
      </c>
      <c r="F88" s="51">
        <v>263.10000000000002</v>
      </c>
      <c r="G88" s="51">
        <v>280.7</v>
      </c>
      <c r="H88" s="51">
        <v>418.5</v>
      </c>
    </row>
    <row r="89" spans="1:8" ht="13.5" x14ac:dyDescent="0.2">
      <c r="A89" s="51">
        <v>152</v>
      </c>
      <c r="B89" s="51">
        <v>39.209999999999994</v>
      </c>
      <c r="C89" s="51">
        <v>240.4</v>
      </c>
      <c r="D89" s="51">
        <v>391.1</v>
      </c>
      <c r="E89" s="51">
        <v>35.349999999999994</v>
      </c>
      <c r="F89" s="51">
        <v>270.2</v>
      </c>
      <c r="G89" s="51">
        <v>287.7</v>
      </c>
      <c r="H89" s="51">
        <v>429.90000000000003</v>
      </c>
    </row>
    <row r="90" spans="1:8" ht="13.5" x14ac:dyDescent="0.2">
      <c r="A90" s="51">
        <v>154</v>
      </c>
      <c r="B90" s="51">
        <v>40.790000000000006</v>
      </c>
      <c r="C90" s="51">
        <v>246.40000000000003</v>
      </c>
      <c r="D90" s="51">
        <v>400.6</v>
      </c>
      <c r="E90" s="51">
        <v>36.89</v>
      </c>
      <c r="F90" s="51">
        <v>277.5</v>
      </c>
      <c r="G90" s="51">
        <v>294.90000000000003</v>
      </c>
      <c r="H90" s="51">
        <v>441.6</v>
      </c>
    </row>
    <row r="91" spans="1:8" ht="13.5" x14ac:dyDescent="0.2">
      <c r="A91" s="51">
        <v>156</v>
      </c>
      <c r="B91" s="51">
        <v>42.41</v>
      </c>
      <c r="C91" s="51">
        <v>252.5</v>
      </c>
      <c r="D91" s="51">
        <v>410.2</v>
      </c>
      <c r="E91" s="51">
        <v>38.47</v>
      </c>
      <c r="F91" s="51">
        <v>285</v>
      </c>
      <c r="G91" s="51">
        <v>302.10000000000002</v>
      </c>
      <c r="H91" s="51">
        <v>453.5</v>
      </c>
    </row>
    <row r="92" spans="1:8" ht="13.5" x14ac:dyDescent="0.2">
      <c r="A92" s="51">
        <v>158</v>
      </c>
      <c r="B92" s="51">
        <v>44.06</v>
      </c>
      <c r="C92" s="51">
        <v>258.7</v>
      </c>
      <c r="D92" s="51">
        <v>420.1</v>
      </c>
      <c r="E92" s="51">
        <v>40.090000000000003</v>
      </c>
      <c r="F92" s="51">
        <v>292.5</v>
      </c>
      <c r="G92" s="51">
        <v>309.5</v>
      </c>
      <c r="H92" s="51">
        <v>465.7</v>
      </c>
    </row>
    <row r="93" spans="1:8" ht="13.5" x14ac:dyDescent="0.2">
      <c r="A93" s="51">
        <v>160</v>
      </c>
      <c r="B93" s="51">
        <v>45.75</v>
      </c>
      <c r="C93" s="51">
        <v>265</v>
      </c>
      <c r="D93" s="51">
        <v>430.1</v>
      </c>
      <c r="E93" s="51">
        <v>41.739999999999995</v>
      </c>
      <c r="F93" s="51">
        <v>300.2</v>
      </c>
      <c r="G93" s="51">
        <v>317.10000000000002</v>
      </c>
      <c r="H93" s="51">
        <v>478</v>
      </c>
    </row>
    <row r="94" spans="1:8" ht="13.5" x14ac:dyDescent="0.2">
      <c r="A94" s="51">
        <v>162</v>
      </c>
      <c r="B94" s="51">
        <v>47.480000000000004</v>
      </c>
      <c r="C94" s="51">
        <v>271.40000000000003</v>
      </c>
      <c r="D94" s="51">
        <v>440.3</v>
      </c>
      <c r="E94" s="51">
        <v>43.430000000000007</v>
      </c>
      <c r="F94" s="51">
        <v>308.10000000000002</v>
      </c>
      <c r="G94" s="51">
        <v>324.7</v>
      </c>
      <c r="H94" s="51">
        <v>490.6</v>
      </c>
    </row>
    <row r="95" spans="1:8" ht="13.5" x14ac:dyDescent="0.2">
      <c r="A95" s="51">
        <v>164</v>
      </c>
      <c r="B95" s="51">
        <v>49.239999999999995</v>
      </c>
      <c r="C95" s="51">
        <v>278</v>
      </c>
      <c r="D95" s="51">
        <v>450.6</v>
      </c>
      <c r="E95" s="51">
        <v>45.150000000000006</v>
      </c>
      <c r="F95" s="51">
        <v>316.10000000000002</v>
      </c>
      <c r="G95" s="51">
        <v>332.5</v>
      </c>
      <c r="H95" s="51">
        <v>503.50000000000006</v>
      </c>
    </row>
    <row r="96" spans="1:8" ht="13.5" x14ac:dyDescent="0.2">
      <c r="A96" s="51">
        <v>166</v>
      </c>
      <c r="B96" s="51">
        <v>51.039999999999992</v>
      </c>
      <c r="C96" s="51">
        <v>284.60000000000002</v>
      </c>
      <c r="D96" s="51">
        <v>461.1</v>
      </c>
      <c r="E96" s="51">
        <v>46.92</v>
      </c>
      <c r="F96" s="51">
        <v>324.3</v>
      </c>
      <c r="G96" s="51">
        <v>340.40000000000003</v>
      </c>
      <c r="H96" s="51">
        <v>516.59999999999991</v>
      </c>
    </row>
    <row r="97" spans="1:8" ht="13.5" x14ac:dyDescent="0.2">
      <c r="A97" s="51">
        <v>168</v>
      </c>
      <c r="B97" s="51">
        <v>52.86999999999999</v>
      </c>
      <c r="C97" s="51">
        <v>291.3</v>
      </c>
      <c r="D97" s="51">
        <v>471.90000000000003</v>
      </c>
      <c r="E97" s="51">
        <v>48.72</v>
      </c>
      <c r="F97" s="51">
        <v>332.6</v>
      </c>
      <c r="G97" s="51">
        <v>348.5</v>
      </c>
      <c r="H97" s="51">
        <v>529.9</v>
      </c>
    </row>
    <row r="98" spans="1:8" ht="13.5" x14ac:dyDescent="0.2">
      <c r="A98" s="51">
        <v>170</v>
      </c>
      <c r="B98" s="51">
        <v>54.75</v>
      </c>
      <c r="C98" s="51">
        <v>298.2</v>
      </c>
      <c r="D98" s="51">
        <v>482.8</v>
      </c>
      <c r="E98" s="51">
        <v>50.569999999999993</v>
      </c>
      <c r="F98" s="51">
        <v>341.1</v>
      </c>
      <c r="G98" s="51">
        <v>356.7</v>
      </c>
      <c r="H98" s="51">
        <v>543.5</v>
      </c>
    </row>
    <row r="99" spans="1:8" ht="13.5" x14ac:dyDescent="0.2">
      <c r="A99" s="51">
        <v>172</v>
      </c>
      <c r="B99" s="51">
        <v>56.66</v>
      </c>
      <c r="C99" s="51">
        <v>305.2</v>
      </c>
      <c r="D99" s="51">
        <v>493.90000000000003</v>
      </c>
      <c r="E99" s="51">
        <v>52.45</v>
      </c>
      <c r="F99" s="51">
        <v>349.7</v>
      </c>
      <c r="G99" s="51">
        <v>365</v>
      </c>
      <c r="H99" s="51">
        <v>557.4</v>
      </c>
    </row>
    <row r="100" spans="1:8" ht="13.5" x14ac:dyDescent="0.2">
      <c r="A100" s="51">
        <v>174</v>
      </c>
      <c r="B100" s="51">
        <v>58.61</v>
      </c>
      <c r="C100" s="51">
        <v>312.2</v>
      </c>
      <c r="D100" s="51">
        <v>505.09999999999997</v>
      </c>
      <c r="E100" s="51">
        <v>54.36999999999999</v>
      </c>
      <c r="F100" s="51">
        <v>358.5</v>
      </c>
      <c r="G100" s="51">
        <v>373.5</v>
      </c>
      <c r="H100" s="51">
        <v>571.5</v>
      </c>
    </row>
    <row r="101" spans="1:8" ht="13.5" x14ac:dyDescent="0.2">
      <c r="A101" s="51">
        <v>176</v>
      </c>
      <c r="B101" s="51">
        <v>60.61</v>
      </c>
      <c r="C101" s="51">
        <v>319.40000000000003</v>
      </c>
      <c r="D101" s="51">
        <v>516.59999999999991</v>
      </c>
      <c r="E101" s="51">
        <v>56.34</v>
      </c>
      <c r="F101" s="51">
        <v>367.5</v>
      </c>
      <c r="G101" s="51">
        <v>382.1</v>
      </c>
      <c r="H101" s="51">
        <v>585.79999999999995</v>
      </c>
    </row>
    <row r="102" spans="1:8" ht="13.5" x14ac:dyDescent="0.2">
      <c r="A102" s="51">
        <v>178</v>
      </c>
      <c r="B102" s="51">
        <v>62.64</v>
      </c>
      <c r="C102" s="51">
        <v>326.8</v>
      </c>
      <c r="D102" s="51">
        <v>528.29999999999995</v>
      </c>
      <c r="E102" s="51">
        <v>58.349999999999994</v>
      </c>
      <c r="F102" s="51">
        <v>376.6</v>
      </c>
      <c r="G102" s="51">
        <v>390.8</v>
      </c>
      <c r="H102" s="51">
        <v>600.5</v>
      </c>
    </row>
    <row r="103" spans="1:8" ht="13.5" x14ac:dyDescent="0.2">
      <c r="A103" s="51">
        <v>180</v>
      </c>
      <c r="B103" s="51">
        <v>64.709999999999994</v>
      </c>
      <c r="C103" s="51">
        <v>334.2</v>
      </c>
      <c r="D103" s="51">
        <v>540.19999999999993</v>
      </c>
      <c r="E103" s="51">
        <v>60.399999999999991</v>
      </c>
      <c r="F103" s="51">
        <v>386</v>
      </c>
      <c r="G103" s="51">
        <v>399.7</v>
      </c>
      <c r="H103" s="51">
        <v>615.4</v>
      </c>
    </row>
    <row r="104" spans="1:8" ht="13.5" x14ac:dyDescent="0.2">
      <c r="A104" s="51">
        <v>182</v>
      </c>
      <c r="B104" s="51">
        <v>66.83</v>
      </c>
      <c r="C104" s="51">
        <v>341.7</v>
      </c>
      <c r="D104" s="51">
        <v>552.29999999999995</v>
      </c>
      <c r="E104" s="51">
        <v>62.489999999999995</v>
      </c>
      <c r="F104" s="51">
        <v>395.40000000000003</v>
      </c>
      <c r="G104" s="51">
        <v>408.8</v>
      </c>
      <c r="H104" s="51">
        <v>630.5</v>
      </c>
    </row>
    <row r="105" spans="1:8" ht="13.5" x14ac:dyDescent="0.2">
      <c r="A105" s="51">
        <v>184</v>
      </c>
      <c r="B105" s="51">
        <v>68.989999999999995</v>
      </c>
      <c r="C105" s="51">
        <v>349.40000000000003</v>
      </c>
      <c r="D105" s="51">
        <v>564.59999999999991</v>
      </c>
      <c r="E105" s="51">
        <v>64.61999999999999</v>
      </c>
      <c r="F105" s="51">
        <v>405.1</v>
      </c>
      <c r="G105" s="51">
        <v>418</v>
      </c>
      <c r="H105" s="51">
        <v>646</v>
      </c>
    </row>
    <row r="106" spans="1:8" ht="13.5" x14ac:dyDescent="0.2">
      <c r="A106" s="51">
        <v>186</v>
      </c>
      <c r="B106" s="51">
        <v>71.19</v>
      </c>
      <c r="C106" s="51">
        <v>357.2</v>
      </c>
      <c r="D106" s="51">
        <v>577.09999999999991</v>
      </c>
      <c r="E106" s="51">
        <v>66.81</v>
      </c>
      <c r="F106" s="51">
        <v>414.90000000000003</v>
      </c>
      <c r="G106" s="51">
        <v>427.40000000000003</v>
      </c>
      <c r="H106" s="51">
        <v>661.69999999999993</v>
      </c>
    </row>
    <row r="107" spans="1:8" ht="13.5" x14ac:dyDescent="0.2">
      <c r="A107" s="51">
        <v>188</v>
      </c>
      <c r="B107" s="51">
        <v>73.429999999999993</v>
      </c>
      <c r="C107" s="51">
        <v>365.1</v>
      </c>
      <c r="D107" s="51">
        <v>589.79999999999995</v>
      </c>
      <c r="E107" s="51">
        <v>69.03</v>
      </c>
      <c r="F107" s="51">
        <v>425</v>
      </c>
      <c r="G107" s="51">
        <v>436.90000000000003</v>
      </c>
      <c r="H107" s="51">
        <v>677.69999999999993</v>
      </c>
    </row>
    <row r="108" spans="1:8" ht="13.5" x14ac:dyDescent="0.2">
      <c r="A108" s="51">
        <v>190</v>
      </c>
      <c r="B108" s="51">
        <v>75.72</v>
      </c>
      <c r="C108" s="51">
        <v>373.2</v>
      </c>
      <c r="D108" s="51">
        <v>602.79999999999995</v>
      </c>
      <c r="E108" s="51">
        <v>71.3</v>
      </c>
      <c r="F108" s="51">
        <v>435.2</v>
      </c>
      <c r="G108" s="51">
        <v>446.6</v>
      </c>
      <c r="H108" s="51">
        <v>693.9</v>
      </c>
    </row>
    <row r="109" spans="1:8" ht="13.5" x14ac:dyDescent="0.2">
      <c r="A109" s="51">
        <v>192</v>
      </c>
      <c r="B109" s="51">
        <v>78.05</v>
      </c>
      <c r="C109" s="51">
        <v>381.3</v>
      </c>
      <c r="D109" s="51">
        <v>616</v>
      </c>
      <c r="E109" s="51">
        <v>73.61999999999999</v>
      </c>
      <c r="F109" s="51">
        <v>445.6</v>
      </c>
      <c r="G109" s="51">
        <v>456.5</v>
      </c>
      <c r="H109" s="51">
        <v>710.5</v>
      </c>
    </row>
    <row r="110" spans="1:8" ht="13.5" x14ac:dyDescent="0.2">
      <c r="A110" s="51">
        <v>194</v>
      </c>
      <c r="B110" s="51">
        <v>80.42</v>
      </c>
      <c r="C110" s="51">
        <v>389.6</v>
      </c>
      <c r="D110" s="51">
        <v>629.5</v>
      </c>
      <c r="E110" s="51">
        <v>75.98</v>
      </c>
      <c r="F110" s="51">
        <v>456.2</v>
      </c>
      <c r="G110" s="51">
        <v>466.5</v>
      </c>
      <c r="H110" s="51">
        <v>727.4</v>
      </c>
    </row>
    <row r="111" spans="1:8" ht="13.5" x14ac:dyDescent="0.2">
      <c r="A111" s="51">
        <v>196</v>
      </c>
      <c r="B111" s="51">
        <v>82.84</v>
      </c>
      <c r="C111" s="51">
        <v>398</v>
      </c>
      <c r="D111" s="51">
        <v>643.19999999999993</v>
      </c>
      <c r="E111" s="51">
        <v>78.39</v>
      </c>
      <c r="F111" s="51">
        <v>467</v>
      </c>
      <c r="G111" s="51">
        <v>476.7</v>
      </c>
      <c r="H111" s="51">
        <v>744.5</v>
      </c>
    </row>
    <row r="112" spans="1:8" ht="13.5" x14ac:dyDescent="0.2">
      <c r="A112" s="51">
        <v>198</v>
      </c>
      <c r="B112" s="51">
        <v>85.3</v>
      </c>
      <c r="C112" s="51">
        <v>406.6</v>
      </c>
      <c r="D112" s="51">
        <v>657.19999999999993</v>
      </c>
      <c r="E112" s="51">
        <v>80.84</v>
      </c>
      <c r="F112" s="51">
        <v>478.1</v>
      </c>
      <c r="G112" s="51">
        <v>487.1</v>
      </c>
      <c r="H112" s="51">
        <v>762</v>
      </c>
    </row>
    <row r="113" spans="1:8" ht="13.5" x14ac:dyDescent="0.2">
      <c r="A113" s="51">
        <v>200</v>
      </c>
      <c r="B113" s="51">
        <v>87.8</v>
      </c>
      <c r="C113" s="51">
        <v>415.3</v>
      </c>
      <c r="D113" s="51">
        <v>671.4</v>
      </c>
      <c r="E113" s="51">
        <v>83.35</v>
      </c>
      <c r="F113" s="51">
        <v>489.3</v>
      </c>
      <c r="G113" s="51">
        <v>497.7</v>
      </c>
      <c r="H113" s="51">
        <v>779.69999999999993</v>
      </c>
    </row>
  </sheetData>
  <sheetProtection password="E0B2" sheet="1" objects="1" scenarios="1"/>
  <mergeCells count="2">
    <mergeCell ref="A1:H1"/>
    <mergeCell ref="J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Database Export</vt:lpstr>
      <vt:lpstr>Narrative</vt:lpstr>
      <vt:lpstr>Analysis</vt:lpstr>
      <vt:lpstr>Incentives</vt:lpstr>
      <vt:lpstr>P-T Table</vt:lpstr>
      <vt:lpstr>Analysis!Print_Area</vt:lpstr>
      <vt:lpstr>Incentives!Print_Area</vt:lpstr>
      <vt:lpstr>Narrative!Print_Area</vt:lpstr>
      <vt:lpstr>Incentives!Print_Titles</vt:lpstr>
      <vt:lpstr>Narrative!Print_Titles</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Refrigeration Discharge Pressure</dc:title>
  <dc:creator>Mikhail Jones</dc:creator>
  <cp:keywords>OSU EEC</cp:keywords>
  <cp:lastModifiedBy>Mutch, Joshua</cp:lastModifiedBy>
  <cp:lastPrinted>2015-09-02T00:40:55Z</cp:lastPrinted>
  <dcterms:created xsi:type="dcterms:W3CDTF">2011-03-11T22:25:13Z</dcterms:created>
  <dcterms:modified xsi:type="dcterms:W3CDTF">2015-09-02T00:40:58Z</dcterms:modified>
</cp:coreProperties>
</file>