
<file path=[Content_Types].xml><?xml version="1.0" encoding="utf-8"?>
<Types xmlns="http://schemas.openxmlformats.org/package/2006/content-types">
  <Default Extension="bin" ContentType="application/vnd.openxmlformats-officedocument.spreadsheetml.printerSettings"/>
  <Override PartName="/xl/embeddings/oleObject7.bin" ContentType="application/vnd.openxmlformats-officedocument.oleObject"/>
  <Default Extension="png" ContentType="image/png"/>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embeddings/oleObject6.bin" ContentType="application/vnd.openxmlformats-officedocument.oleObject"/>
  <Override PartName="/xl/tables/table1.xml" ContentType="application/vnd.openxmlformats-officedocument.spreadsheetml.table+xml"/>
  <Override PartName="/xl/tables/table2.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embeddings/oleObject3.bin" ContentType="application/vnd.openxmlformats-officedocument.oleObject"/>
  <Override PartName="/xl/embeddings/oleObject4.bin" ContentType="application/vnd.openxmlformats-officedocument.oleObject"/>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45" windowWidth="19020" windowHeight="9855" tabRatio="707"/>
  </bookViews>
  <sheets>
    <sheet name="Narrative" sheetId="33" r:id="rId1"/>
    <sheet name="Calculation1" sheetId="34" r:id="rId2"/>
    <sheet name="Current Pivot Conditions" sheetId="16" r:id="rId3"/>
    <sheet name="Proposed Pivot Conditions" sheetId="38" r:id="rId4"/>
    <sheet name="VSD Cost Estimate" sheetId="36" r:id="rId5"/>
    <sheet name="Nozzle Specs" sheetId="26" r:id="rId6"/>
    <sheet name="Sprinkler Specs" sheetId="27" r:id="rId7"/>
    <sheet name="Endgun Specs" sheetId="28" r:id="rId8"/>
  </sheets>
  <definedNames>
    <definedName name="Data_A3000">'Sprinkler Specs'!$E$27</definedName>
    <definedName name="Data_D3000">'Sprinkler Specs'!$E$16:$E$24</definedName>
    <definedName name="Data_N3000">'Sprinkler Specs'!$E$30:$E$31</definedName>
    <definedName name="Data_R3000">'Sprinkler Specs'!$E$2:$E$7</definedName>
    <definedName name="Data_S3000">'Sprinkler Specs'!$E$10:$E$13</definedName>
    <definedName name="Endgun_Nelson">'Endgun Specs'!$C$2:$C$10</definedName>
    <definedName name="Flow_3TN">'Nozzle Specs'!$G$2:$N$43</definedName>
    <definedName name="Flow_SR100R">'Endgun Specs'!$F$36:$L$43</definedName>
    <definedName name="Flow_SR100T">'Endgun Specs'!$F$16:$O$23</definedName>
    <definedName name="Flow_SR100TR">'Endgun Specs'!$F$26:$N$33</definedName>
    <definedName name="Flow_SR150R">'Endgun Specs'!$F$66:$M$73</definedName>
    <definedName name="Flow_SR150T">'Endgun Specs'!$F$46:$M$53</definedName>
    <definedName name="Flow_SR150TR">'Endgun Specs'!$F$56:$L$63</definedName>
    <definedName name="Flow_SR200R">'Endgun Specs'!$F$86:$L$94</definedName>
    <definedName name="Flow_SR200T">'Endgun Specs'!$F$76:$N$83</definedName>
    <definedName name="Flow_SR75">'Endgun Specs'!$F$2:$N$13</definedName>
    <definedName name="Manufacturer_Endgun">'Endgun Specs'!$A$2</definedName>
    <definedName name="Manufacturer_Nozzle">'Nozzle Specs'!$A$2</definedName>
    <definedName name="Manufacturer_Sprinkler">'Sprinkler Specs'!$A$2</definedName>
    <definedName name="Nozzle_3TN">'Nozzle Specs'!$E$2:$E$43</definedName>
    <definedName name="Nozzle_Nelson">'Nozzle Specs'!$C$2</definedName>
    <definedName name="Nozzle_SR100R">'Endgun Specs'!$F$35:$L$35</definedName>
    <definedName name="Nozzle_SR100T">'Endgun Specs'!$F$15:$O$15</definedName>
    <definedName name="Nozzle_SR100TR">'Endgun Specs'!$F$25:$N$25</definedName>
    <definedName name="Nozzle_SR150R">'Endgun Specs'!$F$65:$M$65</definedName>
    <definedName name="Nozzle_SR150T">'Endgun Specs'!$F$45:$M$45</definedName>
    <definedName name="Nozzle_SR200R">'Endgun Specs'!$F$85:$L$85</definedName>
    <definedName name="Nozzle_SR200T">'Endgun Specs'!$F$75:$N$75</definedName>
    <definedName name="Nozzle_SR75">'Endgun Specs'!$F$1:$N$1</definedName>
    <definedName name="Pressure_3TN">'Nozzle Specs'!$G$1:$N$1</definedName>
    <definedName name="Pressure_SR100R">'Endgun Specs'!$E$36:$E$43</definedName>
    <definedName name="Pressure_SR100T">'Endgun Specs'!$E$16:$E$23</definedName>
    <definedName name="Pressure_SR100TR">'Endgun Specs'!$E$26:$E$33</definedName>
    <definedName name="Pressure_SR150R">'Endgun Specs'!$E$66:$E$73</definedName>
    <definedName name="Pressure_SR150T">'Endgun Specs'!$E$46:$E$53</definedName>
    <definedName name="Pressure_SR150TR">'Endgun Specs'!$E$56:$E$62</definedName>
    <definedName name="Pressure_SR200R">'Endgun Specs'!$E$86:$E$94</definedName>
    <definedName name="Pressure_SR200T">'Endgun Specs'!$E$76:$E$83</definedName>
    <definedName name="Pressure_SR75">'Endgun Specs'!$E$2:$E$13</definedName>
    <definedName name="_xlnm.Print_Area" localSheetId="1">Calculation1!$A$1:$J$46</definedName>
    <definedName name="_xlnm.Print_Area" localSheetId="2">'Current Pivot Conditions'!$A$1:$O$58</definedName>
    <definedName name="_xlnm.Print_Area" localSheetId="0">Narrative!$A$1:$Y$132</definedName>
    <definedName name="_xlnm.Print_Area" localSheetId="3">'Proposed Pivot Conditions'!$A$1:$O$58</definedName>
    <definedName name="_xlnm.Print_Area" localSheetId="4">'VSD Cost Estimate'!#REF!</definedName>
    <definedName name="Range_SR100R">'Endgun Specs'!$R$36:$X$43</definedName>
    <definedName name="Range_SR100T">'Endgun Specs'!$R$16:$AA$23</definedName>
    <definedName name="Range_SR100TR">'Endgun Specs'!$R$26:$Z$33</definedName>
    <definedName name="Range_SR150R">'Endgun Specs'!$R$66:$Y$73</definedName>
    <definedName name="Range_SR150T">'Endgun Specs'!$R$46:$Y$53</definedName>
    <definedName name="Range_SR150TR">'Endgun Specs'!$R$56:$X$63</definedName>
    <definedName name="Range_SR200R">'Endgun Specs'!$R$86:$X$94</definedName>
    <definedName name="Range_SR200T">'Endgun Specs'!$R$76:$Z$83</definedName>
    <definedName name="Range_SR75">'Endgun Specs'!$R$2:$Z$13</definedName>
    <definedName name="Sprinkler_Nelson">'Sprinkler Specs'!$C$2:$C$6</definedName>
  </definedNames>
  <calcPr calcId="125725"/>
</workbook>
</file>

<file path=xl/calcChain.xml><?xml version="1.0" encoding="utf-8"?>
<calcChain xmlns="http://schemas.openxmlformats.org/spreadsheetml/2006/main">
  <c r="E25" i="34"/>
  <c r="E29" l="1"/>
  <c r="M57" i="38" l="1"/>
  <c r="E51"/>
  <c r="L51" s="1"/>
  <c r="E50"/>
  <c r="L50" s="1"/>
  <c r="E49"/>
  <c r="L49" s="1"/>
  <c r="E48"/>
  <c r="L48" s="1"/>
  <c r="E47"/>
  <c r="L47" s="1"/>
  <c r="E46"/>
  <c r="L46" s="1"/>
  <c r="E45"/>
  <c r="L45" s="1"/>
  <c r="E44"/>
  <c r="L44" s="1"/>
  <c r="E43"/>
  <c r="L43" s="1"/>
  <c r="E42"/>
  <c r="L42" s="1"/>
  <c r="E41"/>
  <c r="L41" s="1"/>
  <c r="E40"/>
  <c r="L40" s="1"/>
  <c r="E39"/>
  <c r="L39" s="1"/>
  <c r="E38"/>
  <c r="L38" s="1"/>
  <c r="E37"/>
  <c r="L37" s="1"/>
  <c r="E36"/>
  <c r="L36" s="1"/>
  <c r="E35"/>
  <c r="L35" s="1"/>
  <c r="E34"/>
  <c r="L34" s="1"/>
  <c r="E33"/>
  <c r="L33" s="1"/>
  <c r="E32"/>
  <c r="L32" s="1"/>
  <c r="E31"/>
  <c r="L31" s="1"/>
  <c r="E30"/>
  <c r="L30" s="1"/>
  <c r="E29"/>
  <c r="L29" s="1"/>
  <c r="E28"/>
  <c r="L28" s="1"/>
  <c r="E27"/>
  <c r="L27" s="1"/>
  <c r="E26"/>
  <c r="L26" s="1"/>
  <c r="E25"/>
  <c r="L25" s="1"/>
  <c r="E24"/>
  <c r="L24" s="1"/>
  <c r="E23"/>
  <c r="L23" s="1"/>
  <c r="E22"/>
  <c r="L22" s="1"/>
  <c r="E21"/>
  <c r="L21" s="1"/>
  <c r="E20"/>
  <c r="L20" s="1"/>
  <c r="E19"/>
  <c r="L19" s="1"/>
  <c r="E18"/>
  <c r="L18" s="1"/>
  <c r="E17"/>
  <c r="L17" s="1"/>
  <c r="E16"/>
  <c r="L16" s="1"/>
  <c r="E15"/>
  <c r="L15" s="1"/>
  <c r="E14"/>
  <c r="L14" s="1"/>
  <c r="E13"/>
  <c r="L13" s="1"/>
  <c r="E12"/>
  <c r="L12" s="1"/>
  <c r="E11"/>
  <c r="L11" s="1"/>
  <c r="V10"/>
  <c r="E10"/>
  <c r="L10" s="1"/>
  <c r="R9"/>
  <c r="E9"/>
  <c r="L9" s="1"/>
  <c r="E8"/>
  <c r="L8" s="1"/>
  <c r="E7"/>
  <c r="L7" s="1"/>
  <c r="E6"/>
  <c r="L6" s="1"/>
  <c r="N5"/>
  <c r="I5"/>
  <c r="M47"/>
  <c r="M13"/>
  <c r="M45"/>
  <c r="M8"/>
  <c r="M20"/>
  <c r="M30"/>
  <c r="M43"/>
  <c r="M50"/>
  <c r="M41"/>
  <c r="M48"/>
  <c r="M16"/>
  <c r="M22"/>
  <c r="M23"/>
  <c r="M10"/>
  <c r="M21"/>
  <c r="M28"/>
  <c r="M46"/>
  <c r="M51"/>
  <c r="M19"/>
  <c r="M49"/>
  <c r="M17"/>
  <c r="M24"/>
  <c r="M38"/>
  <c r="M14"/>
  <c r="M34"/>
  <c r="M40"/>
  <c r="M9"/>
  <c r="M31"/>
  <c r="M26"/>
  <c r="M29"/>
  <c r="M36"/>
  <c r="M15"/>
  <c r="M11"/>
  <c r="M27"/>
  <c r="M18"/>
  <c r="M25"/>
  <c r="M32"/>
  <c r="M6"/>
  <c r="M39"/>
  <c r="M42"/>
  <c r="M37"/>
  <c r="M44"/>
  <c r="M12"/>
  <c r="M35"/>
  <c r="M33"/>
  <c r="M7"/>
  <c r="N6" l="1"/>
  <c r="N7" s="1"/>
  <c r="E27" i="34"/>
  <c r="G2" i="36"/>
  <c r="K6" i="38" l="1"/>
  <c r="I6" s="1"/>
  <c r="N8"/>
  <c r="N9" s="1"/>
  <c r="K7"/>
  <c r="K8"/>
  <c r="J2" i="36"/>
  <c r="E39" i="34" s="1"/>
  <c r="B29" i="36"/>
  <c r="E29" s="1"/>
  <c r="B28"/>
  <c r="E28" s="1"/>
  <c r="B27"/>
  <c r="E27" s="1"/>
  <c r="B26"/>
  <c r="E26" s="1"/>
  <c r="B25"/>
  <c r="E25" s="1"/>
  <c r="B24"/>
  <c r="E24" s="1"/>
  <c r="B23"/>
  <c r="E23" s="1"/>
  <c r="B22"/>
  <c r="E22" s="1"/>
  <c r="B21"/>
  <c r="E21" s="1"/>
  <c r="B20"/>
  <c r="E20" s="1"/>
  <c r="B19"/>
  <c r="E19" s="1"/>
  <c r="B18"/>
  <c r="E18" s="1"/>
  <c r="B17"/>
  <c r="E17" s="1"/>
  <c r="B16"/>
  <c r="E16" s="1"/>
  <c r="B15"/>
  <c r="E15" s="1"/>
  <c r="B14"/>
  <c r="E14" s="1"/>
  <c r="B13"/>
  <c r="E13" s="1"/>
  <c r="B12"/>
  <c r="E12" s="1"/>
  <c r="B11"/>
  <c r="E11" s="1"/>
  <c r="B10"/>
  <c r="E10" s="1"/>
  <c r="B9"/>
  <c r="E9" s="1"/>
  <c r="B8"/>
  <c r="E8" s="1"/>
  <c r="B7"/>
  <c r="E7" s="1"/>
  <c r="B6"/>
  <c r="E6" s="1"/>
  <c r="B5"/>
  <c r="E5" s="1"/>
  <c r="B4"/>
  <c r="E4" s="1"/>
  <c r="B3"/>
  <c r="E3" s="1"/>
  <c r="E2"/>
  <c r="E32" i="34"/>
  <c r="I7" i="38" l="1"/>
  <c r="I8" s="1"/>
  <c r="N10"/>
  <c r="K9"/>
  <c r="H2" i="36"/>
  <c r="E37" i="34" s="1"/>
  <c r="I2" i="36"/>
  <c r="E38" i="34" s="1"/>
  <c r="E33"/>
  <c r="I9" i="38" l="1"/>
  <c r="N11"/>
  <c r="K10"/>
  <c r="I10" s="1"/>
  <c r="M10" i="34"/>
  <c r="M7"/>
  <c r="N7" s="1"/>
  <c r="A7" i="33" s="1"/>
  <c r="E42" i="34"/>
  <c r="M11" s="1"/>
  <c r="N11" s="1"/>
  <c r="E43"/>
  <c r="N12" i="38" l="1"/>
  <c r="K11"/>
  <c r="I11" s="1"/>
  <c r="K14" i="33"/>
  <c r="N10" i="34"/>
  <c r="M8"/>
  <c r="M12"/>
  <c r="N12" s="1"/>
  <c r="E44"/>
  <c r="M13" s="1"/>
  <c r="N13" s="1"/>
  <c r="U14" i="33" s="1"/>
  <c r="A47" l="1"/>
  <c r="N13" i="38"/>
  <c r="K12"/>
  <c r="I12" s="1"/>
  <c r="G14" i="33"/>
  <c r="N8" i="34"/>
  <c r="C14" i="33" s="1"/>
  <c r="M9" i="34"/>
  <c r="N9" s="1"/>
  <c r="O14" i="33"/>
  <c r="N14" i="38" l="1"/>
  <c r="K13"/>
  <c r="I13" s="1"/>
  <c r="N15" l="1"/>
  <c r="K14"/>
  <c r="I14" s="1"/>
  <c r="N16" l="1"/>
  <c r="K15"/>
  <c r="I15" s="1"/>
  <c r="M30" i="16"/>
  <c r="M25"/>
  <c r="M18"/>
  <c r="M22"/>
  <c r="M50"/>
  <c r="M29"/>
  <c r="M45"/>
  <c r="M26"/>
  <c r="M27"/>
  <c r="M16"/>
  <c r="M32"/>
  <c r="M35"/>
  <c r="M44"/>
  <c r="M41"/>
  <c r="M7"/>
  <c r="M17"/>
  <c r="M51"/>
  <c r="M8"/>
  <c r="M23"/>
  <c r="M43"/>
  <c r="M11"/>
  <c r="M47"/>
  <c r="M39"/>
  <c r="M21"/>
  <c r="M19"/>
  <c r="M20"/>
  <c r="M14"/>
  <c r="M31"/>
  <c r="M36"/>
  <c r="M46"/>
  <c r="M48"/>
  <c r="M9"/>
  <c r="M12"/>
  <c r="M10"/>
  <c r="M42"/>
  <c r="M38"/>
  <c r="M33"/>
  <c r="M28"/>
  <c r="M24"/>
  <c r="M6"/>
  <c r="M37"/>
  <c r="M15"/>
  <c r="M49"/>
  <c r="M13"/>
  <c r="M40"/>
  <c r="M34"/>
  <c r="N17" i="38" l="1"/>
  <c r="K16"/>
  <c r="I16" s="1"/>
  <c r="V10" i="16"/>
  <c r="R9"/>
  <c r="M57"/>
  <c r="I5"/>
  <c r="N5"/>
  <c r="E6"/>
  <c r="L6" s="1"/>
  <c r="E7"/>
  <c r="L7" s="1"/>
  <c r="E8"/>
  <c r="L8" s="1"/>
  <c r="E9"/>
  <c r="L9"/>
  <c r="E10"/>
  <c r="L10" s="1"/>
  <c r="E11"/>
  <c r="L11" s="1"/>
  <c r="E12"/>
  <c r="L12" s="1"/>
  <c r="E13"/>
  <c r="L13" s="1"/>
  <c r="E14"/>
  <c r="L14" s="1"/>
  <c r="E15"/>
  <c r="L15" s="1"/>
  <c r="E16"/>
  <c r="L16" s="1"/>
  <c r="E17"/>
  <c r="L17" s="1"/>
  <c r="E18"/>
  <c r="L18" s="1"/>
  <c r="E19"/>
  <c r="L19" s="1"/>
  <c r="E20"/>
  <c r="L20" s="1"/>
  <c r="E21"/>
  <c r="L21" s="1"/>
  <c r="E22"/>
  <c r="L22" s="1"/>
  <c r="E23"/>
  <c r="L23" s="1"/>
  <c r="E24"/>
  <c r="L24" s="1"/>
  <c r="E25"/>
  <c r="L25" s="1"/>
  <c r="E26"/>
  <c r="L26" s="1"/>
  <c r="E27"/>
  <c r="L27" s="1"/>
  <c r="E28"/>
  <c r="L28" s="1"/>
  <c r="E29"/>
  <c r="L29" s="1"/>
  <c r="E30"/>
  <c r="L30" s="1"/>
  <c r="E31"/>
  <c r="L31" s="1"/>
  <c r="E32"/>
  <c r="L32" s="1"/>
  <c r="E33"/>
  <c r="L33" s="1"/>
  <c r="E34"/>
  <c r="L34" s="1"/>
  <c r="E35"/>
  <c r="L35" s="1"/>
  <c r="E36"/>
  <c r="L36" s="1"/>
  <c r="E37"/>
  <c r="L37" s="1"/>
  <c r="E38"/>
  <c r="L38" s="1"/>
  <c r="E39"/>
  <c r="L39" s="1"/>
  <c r="E40"/>
  <c r="L40" s="1"/>
  <c r="E41"/>
  <c r="L41" s="1"/>
  <c r="E42"/>
  <c r="L42" s="1"/>
  <c r="E43"/>
  <c r="L43" s="1"/>
  <c r="E44"/>
  <c r="L44" s="1"/>
  <c r="E45"/>
  <c r="L45" s="1"/>
  <c r="E46"/>
  <c r="L46" s="1"/>
  <c r="E47"/>
  <c r="L47" s="1"/>
  <c r="E48"/>
  <c r="L48" s="1"/>
  <c r="E49"/>
  <c r="L49" s="1"/>
  <c r="E50"/>
  <c r="L50" s="1"/>
  <c r="E51"/>
  <c r="L51" s="1"/>
  <c r="N18" i="38" l="1"/>
  <c r="K17"/>
  <c r="I17" s="1"/>
  <c r="N6" i="16"/>
  <c r="K6" l="1"/>
  <c r="I6" s="1"/>
  <c r="N19" i="38"/>
  <c r="K18"/>
  <c r="I18" s="1"/>
  <c r="N7" i="16"/>
  <c r="N8" s="1"/>
  <c r="N20" i="38" l="1"/>
  <c r="K19"/>
  <c r="I19" s="1"/>
  <c r="K7" i="16"/>
  <c r="I7" s="1"/>
  <c r="N9"/>
  <c r="K8"/>
  <c r="N21" i="38" l="1"/>
  <c r="K20"/>
  <c r="I20" s="1"/>
  <c r="I8" i="16"/>
  <c r="N10"/>
  <c r="K9"/>
  <c r="N22" i="38" l="1"/>
  <c r="K21"/>
  <c r="I21" s="1"/>
  <c r="I9" i="16"/>
  <c r="N11"/>
  <c r="K10"/>
  <c r="N23" i="38" l="1"/>
  <c r="K22"/>
  <c r="I22" s="1"/>
  <c r="I10" i="16"/>
  <c r="N12"/>
  <c r="K11"/>
  <c r="N24" i="38" l="1"/>
  <c r="K23"/>
  <c r="I23" s="1"/>
  <c r="I11" i="16"/>
  <c r="N13"/>
  <c r="K12"/>
  <c r="I12" s="1"/>
  <c r="N25" i="38" l="1"/>
  <c r="K24"/>
  <c r="I24" s="1"/>
  <c r="N14" i="16"/>
  <c r="K13"/>
  <c r="I13" s="1"/>
  <c r="N26" i="38" l="1"/>
  <c r="K25"/>
  <c r="I25" s="1"/>
  <c r="N15" i="16"/>
  <c r="K14"/>
  <c r="I14" s="1"/>
  <c r="N27" i="38" l="1"/>
  <c r="K26"/>
  <c r="I26" s="1"/>
  <c r="N16" i="16"/>
  <c r="K15"/>
  <c r="I15" s="1"/>
  <c r="N28" i="38" l="1"/>
  <c r="K27"/>
  <c r="I27" s="1"/>
  <c r="N17" i="16"/>
  <c r="K16"/>
  <c r="I16" s="1"/>
  <c r="N29" i="38" l="1"/>
  <c r="K28"/>
  <c r="I28" s="1"/>
  <c r="N18" i="16"/>
  <c r="K17"/>
  <c r="I17" s="1"/>
  <c r="N30" i="38" l="1"/>
  <c r="K29"/>
  <c r="I29" s="1"/>
  <c r="N19" i="16"/>
  <c r="K18"/>
  <c r="I18" s="1"/>
  <c r="N31" i="38" l="1"/>
  <c r="K30"/>
  <c r="I30" s="1"/>
  <c r="N20" i="16"/>
  <c r="K19"/>
  <c r="I19" s="1"/>
  <c r="N32" i="38" l="1"/>
  <c r="K31"/>
  <c r="I31" s="1"/>
  <c r="N21" i="16"/>
  <c r="K20"/>
  <c r="I20" s="1"/>
  <c r="N33" i="38" l="1"/>
  <c r="K32"/>
  <c r="I32" s="1"/>
  <c r="N22" i="16"/>
  <c r="K21"/>
  <c r="I21" s="1"/>
  <c r="N34" i="38" l="1"/>
  <c r="K33"/>
  <c r="I33" s="1"/>
  <c r="N23" i="16"/>
  <c r="K22"/>
  <c r="I22" s="1"/>
  <c r="N35" i="38" l="1"/>
  <c r="K34"/>
  <c r="I34" s="1"/>
  <c r="N24" i="16"/>
  <c r="K23"/>
  <c r="I23" s="1"/>
  <c r="N36" i="38" l="1"/>
  <c r="K35"/>
  <c r="I35" s="1"/>
  <c r="N25" i="16"/>
  <c r="K24"/>
  <c r="I24" s="1"/>
  <c r="N37" i="38" l="1"/>
  <c r="K36"/>
  <c r="I36" s="1"/>
  <c r="N26" i="16"/>
  <c r="K25"/>
  <c r="I25" s="1"/>
  <c r="N38" i="38" l="1"/>
  <c r="K37"/>
  <c r="I37" s="1"/>
  <c r="N27" i="16"/>
  <c r="K26"/>
  <c r="I26" s="1"/>
  <c r="N39" i="38" l="1"/>
  <c r="K38"/>
  <c r="I38" s="1"/>
  <c r="N28" i="16"/>
  <c r="K27"/>
  <c r="I27" s="1"/>
  <c r="N40" i="38" l="1"/>
  <c r="K39"/>
  <c r="I39" s="1"/>
  <c r="N29" i="16"/>
  <c r="K28"/>
  <c r="I28" s="1"/>
  <c r="N41" i="38" l="1"/>
  <c r="K40"/>
  <c r="I40" s="1"/>
  <c r="N30" i="16"/>
  <c r="K29"/>
  <c r="I29" s="1"/>
  <c r="N42" i="38" l="1"/>
  <c r="K41"/>
  <c r="I41" s="1"/>
  <c r="N31" i="16"/>
  <c r="K30"/>
  <c r="I30" s="1"/>
  <c r="N43" i="38" l="1"/>
  <c r="K42"/>
  <c r="I42" s="1"/>
  <c r="N32" i="16"/>
  <c r="K31"/>
  <c r="I31" s="1"/>
  <c r="N44" i="38" l="1"/>
  <c r="K43"/>
  <c r="I43" s="1"/>
  <c r="N33" i="16"/>
  <c r="K32"/>
  <c r="I32" s="1"/>
  <c r="N45" i="38" l="1"/>
  <c r="K44"/>
  <c r="I44" s="1"/>
  <c r="N34" i="16"/>
  <c r="K33"/>
  <c r="I33" s="1"/>
  <c r="N46" i="38" l="1"/>
  <c r="K45"/>
  <c r="I45" s="1"/>
  <c r="N35" i="16"/>
  <c r="K34"/>
  <c r="I34" s="1"/>
  <c r="N47" i="38" l="1"/>
  <c r="K46"/>
  <c r="I46" s="1"/>
  <c r="N36" i="16"/>
  <c r="K35"/>
  <c r="I35" s="1"/>
  <c r="N48" i="38" l="1"/>
  <c r="K47"/>
  <c r="I47" s="1"/>
  <c r="N37" i="16"/>
  <c r="K36"/>
  <c r="I36" s="1"/>
  <c r="N49" i="38" l="1"/>
  <c r="K48"/>
  <c r="I48" s="1"/>
  <c r="N38" i="16"/>
  <c r="K37"/>
  <c r="I37" s="1"/>
  <c r="N50" i="38" l="1"/>
  <c r="K49"/>
  <c r="I49" s="1"/>
  <c r="N39" i="16"/>
  <c r="K38"/>
  <c r="I38" s="1"/>
  <c r="N51" i="38" l="1"/>
  <c r="K50"/>
  <c r="I50" s="1"/>
  <c r="N40" i="16"/>
  <c r="K39"/>
  <c r="I39" s="1"/>
  <c r="K57" i="38" l="1"/>
  <c r="K51"/>
  <c r="I51" s="1"/>
  <c r="G57" s="1"/>
  <c r="J57" s="1"/>
  <c r="N41" i="16"/>
  <c r="K40"/>
  <c r="I40" s="1"/>
  <c r="L57" i="38"/>
  <c r="N57"/>
  <c r="N42" i="16" l="1"/>
  <c r="K41"/>
  <c r="I41" s="1"/>
  <c r="N43" l="1"/>
  <c r="K42"/>
  <c r="I42" s="1"/>
  <c r="N44" l="1"/>
  <c r="K43"/>
  <c r="I43" s="1"/>
  <c r="N45" l="1"/>
  <c r="K44"/>
  <c r="I44" s="1"/>
  <c r="N46" l="1"/>
  <c r="K45"/>
  <c r="I45" s="1"/>
  <c r="N47" l="1"/>
  <c r="K46"/>
  <c r="I46" s="1"/>
  <c r="N48" l="1"/>
  <c r="K47"/>
  <c r="I47" s="1"/>
  <c r="N49" l="1"/>
  <c r="K48"/>
  <c r="I48" s="1"/>
  <c r="N50" l="1"/>
  <c r="N51" s="1"/>
  <c r="K49"/>
  <c r="I49" s="1"/>
  <c r="K57" l="1"/>
  <c r="K50"/>
  <c r="I50" s="1"/>
  <c r="K51" l="1"/>
  <c r="I51" s="1"/>
  <c r="G57" s="1"/>
  <c r="J57" l="1"/>
  <c r="L57"/>
  <c r="N57"/>
</calcChain>
</file>

<file path=xl/sharedStrings.xml><?xml version="1.0" encoding="utf-8"?>
<sst xmlns="http://schemas.openxmlformats.org/spreadsheetml/2006/main" count="948" uniqueCount="366">
  <si>
    <t>Assumptions</t>
  </si>
  <si>
    <t>Economic Results</t>
  </si>
  <si>
    <t>Data Collected</t>
  </si>
  <si>
    <t>(Eq. 6)</t>
  </si>
  <si>
    <t>Energy Savings Summary</t>
  </si>
  <si>
    <t>Information For Narrative</t>
  </si>
  <si>
    <t>Cost Savings</t>
  </si>
  <si>
    <t>Payback</t>
  </si>
  <si>
    <t>Implementation Costs Summary</t>
  </si>
  <si>
    <t xml:space="preserve"> Equations</t>
  </si>
  <si>
    <t>Energy Savings</t>
  </si>
  <si>
    <t>Conversion Factors</t>
  </si>
  <si>
    <t>Implementation Costs</t>
  </si>
  <si>
    <t>(N. 1)</t>
  </si>
  <si>
    <r>
      <t>(CF</t>
    </r>
    <r>
      <rPr>
        <vertAlign val="subscript"/>
        <sz val="10"/>
        <color indexed="8"/>
        <rFont val="Times New Roman"/>
        <family val="1"/>
      </rPr>
      <t>1</t>
    </r>
    <r>
      <rPr>
        <sz val="10"/>
        <color indexed="8"/>
        <rFont val="Times New Roman"/>
        <family val="1"/>
      </rPr>
      <t>)</t>
    </r>
  </si>
  <si>
    <t>References</t>
  </si>
  <si>
    <r>
      <t>(EC</t>
    </r>
    <r>
      <rPr>
        <vertAlign val="subscript"/>
        <sz val="10"/>
        <color indexed="8"/>
        <rFont val="Times New Roman"/>
        <family val="1"/>
      </rPr>
      <t>C</t>
    </r>
    <r>
      <rPr>
        <sz val="10"/>
        <color indexed="8"/>
        <rFont val="Times New Roman"/>
        <family val="1"/>
      </rPr>
      <t>)</t>
    </r>
  </si>
  <si>
    <t>(ES)</t>
  </si>
  <si>
    <t>(CS)</t>
  </si>
  <si>
    <t>(IC)</t>
  </si>
  <si>
    <t>(PB)</t>
  </si>
  <si>
    <t>kWh</t>
  </si>
  <si>
    <t>Assessment Recommendation Summary</t>
  </si>
  <si>
    <t>Energy</t>
  </si>
  <si>
    <t>Cost</t>
  </si>
  <si>
    <t>Implementation</t>
  </si>
  <si>
    <t>Savings</t>
  </si>
  <si>
    <t>(Years)</t>
  </si>
  <si>
    <t>*  1 MMBtu = 1,000,000 Btu, 1 kWh = 3,413 Btu</t>
  </si>
  <si>
    <t>Recommendation</t>
  </si>
  <si>
    <t>Background</t>
  </si>
  <si>
    <t>Proposal</t>
  </si>
  <si>
    <t>(MMBtu)*</t>
  </si>
  <si>
    <t>(kWh)*</t>
  </si>
  <si>
    <t>gpm</t>
  </si>
  <si>
    <t>inches</t>
  </si>
  <si>
    <t>psi</t>
  </si>
  <si>
    <t>feet</t>
  </si>
  <si>
    <t>Pressure Conversion Factor</t>
  </si>
  <si>
    <t>kW</t>
  </si>
  <si>
    <t>(gpm)</t>
  </si>
  <si>
    <t>(N. 2)</t>
  </si>
  <si>
    <t>(Rf. 1)</t>
  </si>
  <si>
    <t>(Eq. 1)</t>
  </si>
  <si>
    <t>(Eq. 2)</t>
  </si>
  <si>
    <t>Notes</t>
  </si>
  <si>
    <t>(Eq. 3)</t>
  </si>
  <si>
    <t>(Eq. 4)</t>
  </si>
  <si>
    <t>(Eq. 7)</t>
  </si>
  <si>
    <t>(Rf. 3)</t>
  </si>
  <si>
    <t>•</t>
  </si>
  <si>
    <t>(N. 3)</t>
  </si>
  <si>
    <t>Material Properties</t>
  </si>
  <si>
    <t>No.</t>
  </si>
  <si>
    <t>Location</t>
  </si>
  <si>
    <t>Model</t>
  </si>
  <si>
    <t>Required</t>
  </si>
  <si>
    <t>Delivered</t>
  </si>
  <si>
    <t>Plate</t>
  </si>
  <si>
    <t>Nozzle</t>
  </si>
  <si>
    <t>Flow</t>
  </si>
  <si>
    <t>Pressure</t>
  </si>
  <si>
    <t>Sprinkler</t>
  </si>
  <si>
    <t>(feet)</t>
  </si>
  <si>
    <t>(#)</t>
  </si>
  <si>
    <t>(psi)</t>
  </si>
  <si>
    <t>Span 1</t>
  </si>
  <si>
    <t>R3000</t>
  </si>
  <si>
    <t>Red</t>
  </si>
  <si>
    <t>Number of Towers</t>
  </si>
  <si>
    <t>Total Pipe Length</t>
  </si>
  <si>
    <t>Friction C-Factor</t>
  </si>
  <si>
    <t>Full Circle Flow</t>
  </si>
  <si>
    <t>Coverage With Gun</t>
  </si>
  <si>
    <t>gpm/acre</t>
  </si>
  <si>
    <t>Pipe Inside Diameter</t>
  </si>
  <si>
    <t>Span</t>
  </si>
  <si>
    <t>Span Length</t>
  </si>
  <si>
    <t>Pivot System Summary</t>
  </si>
  <si>
    <t>Pivot Span Summary</t>
  </si>
  <si>
    <t>Nelson</t>
  </si>
  <si>
    <t>S3000</t>
  </si>
  <si>
    <t>D3000</t>
  </si>
  <si>
    <t>Color</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</si>
  <si>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</si>
  <si>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</si>
  <si>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</si>
  <si>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</si>
  <si>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</si>
  <si>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</si>
  <si>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</si>
  <si>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</si>
  <si>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</si>
  <si>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</si>
  <si>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</si>
  <si>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</si>
  <si>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</si>
  <si>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</si>
  <si>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</si>
  <si>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</si>
  <si>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</si>
  <si>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</si>
  <si>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</si>
  <si>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</si>
  <si>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</si>
  <si>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</si>
  <si>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</si>
  <si>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</si>
  <si>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</si>
  <si>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</si>
  <si>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</si>
  <si>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</si>
  <si>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</si>
  <si>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</si>
  <si>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</si>
  <si>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</si>
  <si>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</si>
  <si>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</si>
  <si>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</si>
  <si>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</si>
  <si>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</si>
  <si>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</si>
  <si>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</si>
  <si>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</si>
  <si>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</si>
  <si>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</si>
  <si>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Light Blue/Beige</t>
  </si>
  <si>
    <t>Beige</t>
  </si>
  <si>
    <t>Beige/Gold</t>
  </si>
  <si>
    <t>Gold</t>
  </si>
  <si>
    <t>Gold/Lime</t>
  </si>
  <si>
    <t>Lime</t>
  </si>
  <si>
    <t>Lime/Lavender</t>
  </si>
  <si>
    <t>Lavender</t>
  </si>
  <si>
    <t>Lavender/Gray</t>
  </si>
  <si>
    <t>Gray</t>
  </si>
  <si>
    <t>Gray/Turquise</t>
  </si>
  <si>
    <t>Turquise</t>
  </si>
  <si>
    <t>Turquise/Yellow</t>
  </si>
  <si>
    <t>Yellow</t>
  </si>
  <si>
    <t>Yellow/Red</t>
  </si>
  <si>
    <t>Red/White</t>
  </si>
  <si>
    <t>White</t>
  </si>
  <si>
    <t>White/Blue</t>
  </si>
  <si>
    <t>Blue</t>
  </si>
  <si>
    <t>Blue/Dark Brown</t>
  </si>
  <si>
    <t>Dark Brown</t>
  </si>
  <si>
    <t>Dark Brown/Orange</t>
  </si>
  <si>
    <t>Orange</t>
  </si>
  <si>
    <t>Orange/Dark Green</t>
  </si>
  <si>
    <t>Dark Green</t>
  </si>
  <si>
    <t>Dark Green/ Purple</t>
  </si>
  <si>
    <t>Purple</t>
  </si>
  <si>
    <t>Purple/Black</t>
  </si>
  <si>
    <t>Black</t>
  </si>
  <si>
    <t>Black/Dark Turquise</t>
  </si>
  <si>
    <t>Dark Turquise</t>
  </si>
  <si>
    <t>Dark Turquise/Mustard</t>
  </si>
  <si>
    <t>Mustard</t>
  </si>
  <si>
    <t>Mustard/Maroon</t>
  </si>
  <si>
    <t>Maroon</t>
  </si>
  <si>
    <t>Maroon/Cream</t>
  </si>
  <si>
    <t>Cream</t>
  </si>
  <si>
    <t>Cream/Dark Blue</t>
  </si>
  <si>
    <t>Dark Blue</t>
  </si>
  <si>
    <t>Dark Blue/Copper</t>
  </si>
  <si>
    <t>Copper</t>
  </si>
  <si>
    <t>A3000</t>
  </si>
  <si>
    <t>N3000</t>
  </si>
  <si>
    <t>Span 2</t>
  </si>
  <si>
    <t>Span 3</t>
  </si>
  <si>
    <t>Available</t>
  </si>
  <si>
    <t>Current Pivot Conditions</t>
  </si>
  <si>
    <t>Booster Pump/End Gun</t>
  </si>
  <si>
    <t>Diameter</t>
  </si>
  <si>
    <t>(inches)</t>
  </si>
  <si>
    <t>Booster In</t>
  </si>
  <si>
    <t>Booster Out</t>
  </si>
  <si>
    <t>Booster</t>
  </si>
  <si>
    <t>Range</t>
  </si>
  <si>
    <t>0.55"</t>
  </si>
  <si>
    <t>0.65"</t>
  </si>
  <si>
    <t>0.75"</t>
  </si>
  <si>
    <t>0.85"</t>
  </si>
  <si>
    <t>Radius</t>
  </si>
  <si>
    <t>0.45"</t>
  </si>
  <si>
    <t>Sprinkler_Manufacturer</t>
  </si>
  <si>
    <t>Nelson_Nozzle</t>
  </si>
  <si>
    <t>Nozzle_Manufacturer</t>
  </si>
  <si>
    <t>Nelson_Sprinkler</t>
  </si>
  <si>
    <t>Endgun_Manufacturer</t>
  </si>
  <si>
    <t>Nelson_Endgun</t>
  </si>
  <si>
    <t>0.4"</t>
  </si>
  <si>
    <t>0.5"</t>
  </si>
  <si>
    <t>0.6"</t>
  </si>
  <si>
    <t>0.7"</t>
  </si>
  <si>
    <t>0.8"</t>
  </si>
  <si>
    <t>0.9"</t>
  </si>
  <si>
    <t>1.0"</t>
  </si>
  <si>
    <t>0.64"</t>
  </si>
  <si>
    <t>0.68"</t>
  </si>
  <si>
    <t>0.72"</t>
  </si>
  <si>
    <t>0.76"</t>
  </si>
  <si>
    <t>0.84"</t>
  </si>
  <si>
    <t>0.88"</t>
  </si>
  <si>
    <t>0.92"</t>
  </si>
  <si>
    <t>0.96"</t>
  </si>
  <si>
    <t>0.71"</t>
  </si>
  <si>
    <t>0.77"</t>
  </si>
  <si>
    <t>0.81"</t>
  </si>
  <si>
    <t>0.86"</t>
  </si>
  <si>
    <t>0.89"</t>
  </si>
  <si>
    <t>0.93"</t>
  </si>
  <si>
    <t>1.1"</t>
  </si>
  <si>
    <t>1.2"</t>
  </si>
  <si>
    <t>1.3"</t>
  </si>
  <si>
    <t>1.4"</t>
  </si>
  <si>
    <t>1.04"</t>
  </si>
  <si>
    <t>1.12"</t>
  </si>
  <si>
    <t>1.28"</t>
  </si>
  <si>
    <t>1.36"</t>
  </si>
  <si>
    <t>0.97"</t>
  </si>
  <si>
    <t>1.08"</t>
  </si>
  <si>
    <t>1.18"</t>
  </si>
  <si>
    <t>1.26"</t>
  </si>
  <si>
    <t>1.34"</t>
  </si>
  <si>
    <t>1.41"</t>
  </si>
  <si>
    <t>1.47"</t>
  </si>
  <si>
    <t>1.05"</t>
  </si>
  <si>
    <t>1.5"</t>
  </si>
  <si>
    <t>1.6"</t>
  </si>
  <si>
    <t>1.75"</t>
  </si>
  <si>
    <t>1.9"</t>
  </si>
  <si>
    <t>1.29"</t>
  </si>
  <si>
    <t>1.46"</t>
  </si>
  <si>
    <t>1.56"</t>
  </si>
  <si>
    <t>1.66"</t>
  </si>
  <si>
    <t>1.74"</t>
  </si>
  <si>
    <t>1.83"</t>
  </si>
  <si>
    <t>1.93"</t>
  </si>
  <si>
    <t>SR75</t>
  </si>
  <si>
    <t>SR100T</t>
  </si>
  <si>
    <t>SR100TR</t>
  </si>
  <si>
    <t>SR100R</t>
  </si>
  <si>
    <t>SR150T</t>
  </si>
  <si>
    <t>SR150TR</t>
  </si>
  <si>
    <t>SR150R</t>
  </si>
  <si>
    <t>SR200T</t>
  </si>
  <si>
    <t>SR200R</t>
  </si>
  <si>
    <t>Desired System Flow</t>
  </si>
  <si>
    <t>Desired End Gun Radius</t>
  </si>
  <si>
    <t>Nozzle Manufacturer</t>
  </si>
  <si>
    <t>Nozzle Model</t>
  </si>
  <si>
    <t>Endgun Manufacturer</t>
  </si>
  <si>
    <t>Green</t>
  </si>
  <si>
    <t>Brown</t>
  </si>
  <si>
    <t>3TN</t>
  </si>
  <si>
    <t>Sprinklers</t>
  </si>
  <si>
    <t>Pivot Center Pressure</t>
  </si>
  <si>
    <t>Proposed Pivot Conditions</t>
  </si>
  <si>
    <t xml:space="preserve">   Low Pressure Irrigation</t>
  </si>
  <si>
    <r>
      <t>(P</t>
    </r>
    <r>
      <rPr>
        <vertAlign val="subscript"/>
        <sz val="10"/>
        <color indexed="8"/>
        <rFont val="Times New Roman"/>
        <family val="1"/>
      </rPr>
      <t>C1</t>
    </r>
    <r>
      <rPr>
        <sz val="10"/>
        <color indexed="8"/>
        <rFont val="Times New Roman"/>
        <family val="1"/>
      </rPr>
      <t>)</t>
    </r>
  </si>
  <si>
    <t>Pump System</t>
  </si>
  <si>
    <t>Current Energy Consumption</t>
  </si>
  <si>
    <t>Current Max Demand</t>
  </si>
  <si>
    <r>
      <t>(ED</t>
    </r>
    <r>
      <rPr>
        <vertAlign val="subscript"/>
        <sz val="10"/>
        <color indexed="8"/>
        <rFont val="Times New Roman"/>
        <family val="1"/>
      </rPr>
      <t>C</t>
    </r>
    <r>
      <rPr>
        <sz val="10"/>
        <color indexed="8"/>
        <rFont val="Times New Roman"/>
        <family val="1"/>
      </rPr>
      <t>)</t>
    </r>
  </si>
  <si>
    <t>Pump Horsepower</t>
  </si>
  <si>
    <t>(HP)</t>
  </si>
  <si>
    <t>hp</t>
  </si>
  <si>
    <t>Incremental Costs</t>
  </si>
  <si>
    <t>Incremental Electricity Cost</t>
  </si>
  <si>
    <t>(EC)</t>
  </si>
  <si>
    <t>$/kWh</t>
  </si>
  <si>
    <t>Hazen-Williams Coefficient (Al)</t>
  </si>
  <si>
    <r>
      <t>(C</t>
    </r>
    <r>
      <rPr>
        <vertAlign val="subscript"/>
        <sz val="10"/>
        <color indexed="8"/>
        <rFont val="Times New Roman"/>
        <family val="1"/>
      </rPr>
      <t>A</t>
    </r>
    <r>
      <rPr>
        <sz val="10"/>
        <color indexed="8"/>
        <rFont val="Times New Roman"/>
        <family val="1"/>
      </rPr>
      <t xml:space="preserve">) </t>
    </r>
  </si>
  <si>
    <r>
      <t>(P</t>
    </r>
    <r>
      <rPr>
        <vertAlign val="subscript"/>
        <sz val="10"/>
        <color indexed="8"/>
        <rFont val="Times New Roman"/>
        <family val="1"/>
      </rPr>
      <t>P1</t>
    </r>
    <r>
      <rPr>
        <sz val="10"/>
        <color indexed="8"/>
        <rFont val="Times New Roman"/>
        <family val="1"/>
      </rPr>
      <t>)</t>
    </r>
  </si>
  <si>
    <r>
      <t>psi/ftH</t>
    </r>
    <r>
      <rPr>
        <vertAlign val="subscript"/>
        <sz val="9"/>
        <color indexed="8"/>
        <rFont val="Times New Roman"/>
        <family val="1"/>
      </rPr>
      <t>2</t>
    </r>
    <r>
      <rPr>
        <sz val="9"/>
        <color indexed="8"/>
        <rFont val="Times New Roman"/>
        <family val="1"/>
      </rPr>
      <t>O</t>
    </r>
  </si>
  <si>
    <t>Pressure Development</t>
  </si>
  <si>
    <t>Pressure Losses/Gains</t>
  </si>
  <si>
    <r>
      <t>(P</t>
    </r>
    <r>
      <rPr>
        <vertAlign val="subscript"/>
        <sz val="10"/>
        <color indexed="8"/>
        <rFont val="Times New Roman"/>
        <family val="1"/>
      </rPr>
      <t>L1</t>
    </r>
    <r>
      <rPr>
        <sz val="10"/>
        <color indexed="8"/>
        <rFont val="Times New Roman"/>
        <family val="1"/>
      </rPr>
      <t>)</t>
    </r>
  </si>
  <si>
    <t>Pressures</t>
  </si>
  <si>
    <r>
      <t>(P</t>
    </r>
    <r>
      <rPr>
        <vertAlign val="subscript"/>
        <sz val="10"/>
        <color indexed="8"/>
        <rFont val="Times New Roman"/>
        <family val="1"/>
      </rPr>
      <t>C2</t>
    </r>
    <r>
      <rPr>
        <sz val="10"/>
        <color indexed="8"/>
        <rFont val="Times New Roman"/>
        <family val="1"/>
      </rPr>
      <t>)</t>
    </r>
  </si>
  <si>
    <t>Current Pump Pressure</t>
  </si>
  <si>
    <t>Proposed Pump Pressure</t>
  </si>
  <si>
    <r>
      <t>(P</t>
    </r>
    <r>
      <rPr>
        <vertAlign val="subscript"/>
        <sz val="10"/>
        <color indexed="8"/>
        <rFont val="Times New Roman"/>
        <family val="1"/>
      </rPr>
      <t>P2</t>
    </r>
    <r>
      <rPr>
        <sz val="10"/>
        <color indexed="8"/>
        <rFont val="Times New Roman"/>
        <family val="1"/>
      </rPr>
      <t>)</t>
    </r>
  </si>
  <si>
    <t>Proposed Energy Consumption</t>
  </si>
  <si>
    <r>
      <t>(EC</t>
    </r>
    <r>
      <rPr>
        <vertAlign val="subscript"/>
        <sz val="10"/>
        <color indexed="8"/>
        <rFont val="Times New Roman"/>
        <family val="1"/>
      </rPr>
      <t>P</t>
    </r>
    <r>
      <rPr>
        <sz val="10"/>
        <color indexed="8"/>
        <rFont val="Times New Roman"/>
        <family val="1"/>
      </rPr>
      <t>)</t>
    </r>
  </si>
  <si>
    <t>Variable Speed Drive</t>
  </si>
  <si>
    <r>
      <t>(C</t>
    </r>
    <r>
      <rPr>
        <vertAlign val="subscript"/>
        <sz val="10"/>
        <color indexed="8"/>
        <rFont val="Times New Roman"/>
        <family val="1"/>
      </rPr>
      <t>M1</t>
    </r>
    <r>
      <rPr>
        <sz val="10"/>
        <color indexed="8"/>
        <rFont val="Times New Roman"/>
        <family val="1"/>
      </rPr>
      <t>)</t>
    </r>
  </si>
  <si>
    <t>Manual Bypass and Circuit Breaker</t>
  </si>
  <si>
    <r>
      <t>(C</t>
    </r>
    <r>
      <rPr>
        <vertAlign val="subscript"/>
        <sz val="10"/>
        <color indexed="8"/>
        <rFont val="Times New Roman"/>
        <family val="1"/>
      </rPr>
      <t>M2</t>
    </r>
    <r>
      <rPr>
        <sz val="10"/>
        <color indexed="8"/>
        <rFont val="Times New Roman"/>
        <family val="1"/>
      </rPr>
      <t>)</t>
    </r>
  </si>
  <si>
    <t>Installation and Setup</t>
  </si>
  <si>
    <r>
      <t>(C</t>
    </r>
    <r>
      <rPr>
        <vertAlign val="subscript"/>
        <sz val="10"/>
        <color indexed="8"/>
        <rFont val="Times New Roman"/>
        <family val="1"/>
      </rPr>
      <t>L1</t>
    </r>
    <r>
      <rPr>
        <sz val="10"/>
        <color indexed="8"/>
        <rFont val="Times New Roman"/>
        <family val="1"/>
      </rPr>
      <t>)</t>
    </r>
  </si>
  <si>
    <t>years</t>
  </si>
  <si>
    <t>Source: http://www.flickr.com/photos/29385617@N00/</t>
  </si>
  <si>
    <t>Low Pressure Irrigation</t>
  </si>
  <si>
    <t>Reg. In</t>
  </si>
  <si>
    <t>Reg. Out</t>
  </si>
  <si>
    <t>Losses</t>
  </si>
  <si>
    <t>Current Pivot Pressure</t>
  </si>
  <si>
    <t>Proposed Pivot Pressure</t>
  </si>
  <si>
    <t>Mainline Pressure Loss</t>
  </si>
  <si>
    <t>(Rf. 2)</t>
  </si>
  <si>
    <t>(Eq. 5)</t>
  </si>
  <si>
    <r>
      <t>Rf. 3)</t>
    </r>
    <r>
      <rPr>
        <sz val="10"/>
        <color indexed="8"/>
        <rFont val="Times New Roman"/>
        <family val="1"/>
      </rPr>
      <t xml:space="preserve"> Vendor supplied guidelines for estimating the variable speed drive and associated installation costs.</t>
    </r>
  </si>
  <si>
    <r>
      <rPr>
        <b/>
        <sz val="10"/>
        <color indexed="8"/>
        <rFont val="Times New Roman"/>
        <family val="1"/>
      </rPr>
      <t>Eq. 1)</t>
    </r>
    <r>
      <rPr>
        <sz val="10"/>
        <color indexed="8"/>
        <rFont val="Times New Roman"/>
        <family val="1"/>
      </rPr>
      <t xml:space="preserve"> Mainline Pressure Loss (P</t>
    </r>
    <r>
      <rPr>
        <vertAlign val="subscript"/>
        <sz val="10"/>
        <color indexed="8"/>
        <rFont val="Times New Roman"/>
        <family val="1"/>
      </rPr>
      <t>L1</t>
    </r>
    <r>
      <rPr>
        <sz val="10"/>
        <color indexed="8"/>
        <rFont val="Times New Roman"/>
        <family val="1"/>
      </rPr>
      <t>)</t>
    </r>
  </si>
  <si>
    <r>
      <rPr>
        <b/>
        <sz val="10"/>
        <color indexed="8"/>
        <rFont val="Times New Roman"/>
        <family val="1"/>
      </rPr>
      <t>Eq. 5)</t>
    </r>
    <r>
      <rPr>
        <sz val="10"/>
        <color indexed="8"/>
        <rFont val="Times New Roman"/>
        <family val="1"/>
      </rPr>
      <t xml:space="preserve"> Energy Savings (ES)</t>
    </r>
  </si>
  <si>
    <r>
      <rPr>
        <b/>
        <sz val="10"/>
        <color indexed="8"/>
        <rFont val="Times New Roman"/>
        <family val="1"/>
      </rPr>
      <t>Eq. 6)</t>
    </r>
    <r>
      <rPr>
        <sz val="10"/>
        <color indexed="8"/>
        <rFont val="Times New Roman"/>
        <family val="1"/>
      </rPr>
      <t xml:space="preserve"> Cost Savings (CS)</t>
    </r>
  </si>
  <si>
    <r>
      <rPr>
        <b/>
        <sz val="10"/>
        <color indexed="8"/>
        <rFont val="Times New Roman"/>
        <family val="1"/>
      </rPr>
      <t>Eq. 7)</t>
    </r>
    <r>
      <rPr>
        <sz val="10"/>
        <color indexed="8"/>
        <rFont val="Times New Roman"/>
        <family val="1"/>
      </rPr>
      <t xml:space="preserve"> Implementation Cost (IC)</t>
    </r>
  </si>
  <si>
    <r>
      <rPr>
        <b/>
        <sz val="10"/>
        <color indexed="8"/>
        <rFont val="Times New Roman"/>
        <family val="1"/>
      </rPr>
      <t xml:space="preserve">Eq. 4) </t>
    </r>
    <r>
      <rPr>
        <sz val="10"/>
        <color indexed="8"/>
        <rFont val="Times New Roman"/>
        <family val="1"/>
      </rPr>
      <t>Proposed Energy Consumption (EC</t>
    </r>
    <r>
      <rPr>
        <vertAlign val="subscript"/>
        <sz val="10"/>
        <color indexed="8"/>
        <rFont val="Times New Roman"/>
        <family val="1"/>
      </rPr>
      <t>P</t>
    </r>
    <r>
      <rPr>
        <sz val="10"/>
        <color indexed="8"/>
        <rFont val="Times New Roman"/>
        <family val="1"/>
      </rPr>
      <t>)</t>
    </r>
  </si>
  <si>
    <t>VSD</t>
  </si>
  <si>
    <t>Manual bypass</t>
  </si>
  <si>
    <t>Total</t>
  </si>
  <si>
    <t>Equipment</t>
  </si>
  <si>
    <t>Labor</t>
  </si>
  <si>
    <t>Horsepower</t>
  </si>
  <si>
    <t>Bypass</t>
  </si>
  <si>
    <t>HP</t>
  </si>
  <si>
    <r>
      <rPr>
        <b/>
        <sz val="10"/>
        <color indexed="8"/>
        <rFont val="Times New Roman"/>
        <family val="1"/>
      </rPr>
      <t>Rf. 2)</t>
    </r>
    <r>
      <rPr>
        <sz val="10"/>
        <color indexed="8"/>
        <rFont val="Times New Roman"/>
        <family val="1"/>
      </rPr>
      <t xml:space="preserve"> Pivot irrigation system pressure loss development tables at end of recommendation.</t>
    </r>
  </si>
  <si>
    <r>
      <rPr>
        <b/>
        <sz val="10"/>
        <color indexed="8"/>
        <rFont val="Times New Roman"/>
        <family val="1"/>
      </rPr>
      <t>Rf. 1)</t>
    </r>
    <r>
      <rPr>
        <sz val="10"/>
        <color indexed="8"/>
        <rFont val="Times New Roman"/>
        <family val="1"/>
      </rPr>
      <t xml:space="preserve"> Annual energy data according to utility bills.</t>
    </r>
  </si>
  <si>
    <t>VSD savings associated with varying end gun use are not included in this calculation, which could yield increased savings.</t>
  </si>
  <si>
    <t>Last Updated</t>
  </si>
  <si>
    <t>Description</t>
  </si>
  <si>
    <t>Original</t>
  </si>
  <si>
    <t>Rounded</t>
  </si>
  <si>
    <t xml:space="preserve">  Percent Energy Use Reduction</t>
  </si>
  <si>
    <t xml:space="preserve">  Energy (MMBtu)</t>
  </si>
  <si>
    <t xml:space="preserve">  Energy (therms)</t>
  </si>
  <si>
    <t xml:space="preserve">  Energy (kWh)</t>
  </si>
  <si>
    <t xml:space="preserve">  Cost Savings</t>
  </si>
  <si>
    <t xml:space="preserve">  Implementation Cost</t>
  </si>
  <si>
    <t xml:space="preserve">  Payback</t>
  </si>
  <si>
    <t>Author</t>
  </si>
  <si>
    <t>Readability Review</t>
  </si>
  <si>
    <t>Engineering Review</t>
  </si>
  <si>
    <t>Math Review</t>
  </si>
  <si>
    <t>Mikhail Jones</t>
  </si>
  <si>
    <r>
      <rPr>
        <b/>
        <sz val="12"/>
        <color indexed="8"/>
        <rFont val="Times New Roman"/>
        <family val="1"/>
      </rPr>
      <t>Increased Yields</t>
    </r>
    <r>
      <rPr>
        <sz val="12"/>
        <color indexed="8"/>
        <rFont val="Times New Roman"/>
        <family val="1"/>
      </rPr>
      <t xml:space="preserve"> - Low pressure drop down nozzles result in a more uniform distribution of water on the field.  This reduces under or over irrigated sections, increasing yields.</t>
    </r>
  </si>
  <si>
    <r>
      <rPr>
        <b/>
        <sz val="12"/>
        <color indexed="8"/>
        <rFont val="Times New Roman"/>
        <family val="1"/>
      </rPr>
      <t>Water Conservation</t>
    </r>
    <r>
      <rPr>
        <sz val="12"/>
        <color indexed="8"/>
        <rFont val="Times New Roman"/>
        <family val="1"/>
      </rPr>
      <t xml:space="preserve"> - Low pressure drop down nozzles reduce wind drift and evaporation losses usually associated with conventional methods of irrigation.  This increases the amount of water delivered to the fields, reducing irrigation times.</t>
    </r>
  </si>
  <si>
    <t>Carl Moen</t>
  </si>
  <si>
    <t>Joe Piacenza</t>
  </si>
  <si>
    <r>
      <rPr>
        <b/>
        <sz val="12"/>
        <color indexed="8"/>
        <rFont val="Times New Roman"/>
        <family val="1"/>
      </rPr>
      <t xml:space="preserve">Reduced Maintenance Costs </t>
    </r>
    <r>
      <rPr>
        <sz val="12"/>
        <color indexed="8"/>
        <rFont val="Times New Roman"/>
        <family val="1"/>
      </rPr>
      <t>- A soft start will also reduce motor wear and damage caused by hard starting as well as maintenance costs associated with water hammer, sprinkler head damage, and flexible coupling damage extending the expected life of the system.</t>
    </r>
  </si>
  <si>
    <r>
      <rPr>
        <b/>
        <sz val="12"/>
        <color indexed="8"/>
        <rFont val="Times New Roman"/>
        <family val="1"/>
      </rPr>
      <t>Motor Protection</t>
    </r>
    <r>
      <rPr>
        <sz val="12"/>
        <color indexed="8"/>
        <rFont val="Times New Roman"/>
        <family val="1"/>
      </rPr>
      <t xml:space="preserve"> - VSD's help reduce the effects of voltage swings in the power distribution system due to other systems kicking on or off.  VSD's can maintain full output voltage at full load, with voltage sags as low as 15 percent helping to protect the motor.</t>
    </r>
  </si>
  <si>
    <r>
      <t>N. 3)</t>
    </r>
    <r>
      <rPr>
        <sz val="10"/>
        <color indexed="8"/>
        <rFont val="Times New Roman"/>
        <family val="1"/>
      </rPr>
      <t xml:space="preserve"> Hazen-Williams Coefficient for Aluminum.</t>
    </r>
  </si>
  <si>
    <t>Energy Consumption</t>
  </si>
  <si>
    <t>Overhang</t>
  </si>
  <si>
    <t>Flow Rate</t>
  </si>
  <si>
    <t>Mainline Diameter</t>
  </si>
  <si>
    <t>(Q)</t>
  </si>
  <si>
    <t>(D)</t>
  </si>
  <si>
    <t>Mainline Length</t>
  </si>
  <si>
    <t>Mainline System</t>
  </si>
  <si>
    <t>(L)</t>
  </si>
  <si>
    <r>
      <rPr>
        <b/>
        <sz val="10"/>
        <color indexed="8"/>
        <rFont val="Times New Roman"/>
        <family val="1"/>
      </rPr>
      <t>Eq. 3)</t>
    </r>
    <r>
      <rPr>
        <sz val="10"/>
        <color indexed="8"/>
        <rFont val="Times New Roman"/>
        <family val="1"/>
      </rPr>
      <t xml:space="preserve"> Proposed Pump Pressure (P</t>
    </r>
    <r>
      <rPr>
        <vertAlign val="subscript"/>
        <sz val="10"/>
        <color indexed="8"/>
        <rFont val="Times New Roman"/>
        <family val="1"/>
      </rPr>
      <t>P2</t>
    </r>
    <r>
      <rPr>
        <sz val="10"/>
        <color indexed="8"/>
        <rFont val="Times New Roman"/>
        <family val="1"/>
      </rPr>
      <t>)</t>
    </r>
  </si>
  <si>
    <r>
      <rPr>
        <b/>
        <sz val="10"/>
        <color indexed="8"/>
        <rFont val="Times New Roman"/>
        <family val="1"/>
      </rPr>
      <t>Eq. 2)</t>
    </r>
    <r>
      <rPr>
        <sz val="10"/>
        <color indexed="8"/>
        <rFont val="Times New Roman"/>
        <family val="1"/>
      </rPr>
      <t xml:space="preserve"> Current Pump Pressure (P</t>
    </r>
    <r>
      <rPr>
        <vertAlign val="subscript"/>
        <sz val="10"/>
        <color indexed="8"/>
        <rFont val="Times New Roman"/>
        <family val="1"/>
      </rPr>
      <t>C2</t>
    </r>
    <r>
      <rPr>
        <sz val="10"/>
        <color indexed="8"/>
        <rFont val="Times New Roman"/>
        <family val="1"/>
      </rPr>
      <t>)</t>
    </r>
  </si>
  <si>
    <r>
      <t>N. 1)</t>
    </r>
    <r>
      <rPr>
        <sz val="10"/>
        <color indexed="8"/>
        <rFont val="Times New Roman"/>
        <family val="1"/>
      </rPr>
      <t xml:space="preserve"> Live power was determined on site by collecting the amount of energy consumed at the meter over one hour.</t>
    </r>
  </si>
  <si>
    <r>
      <t>N. 2)</t>
    </r>
    <r>
      <rPr>
        <sz val="10"/>
        <color indexed="8"/>
        <rFont val="Times New Roman"/>
        <family val="1"/>
      </rPr>
      <t xml:space="preserve"> Data was provided by site personnel.</t>
    </r>
  </si>
  <si>
    <t xml:space="preserve">The 25 hp irrigation system features a single 30 foot deep submersible pump operating to serve one of two similarly sized pivots at a given time, resulting in very little demand variation.  The system utilizes low pressure drop down nozzles to deliver water to the field yet the pump runs at relatively high pressures.  This is not an efficient method to deliver water to a field. This pump is on its own dedicated electrical service. Variable speed drives (VSD), are able to change how a pump operates based on an adjustable parameter such as pressure, resulting in significant energy and demand savings.  </t>
  </si>
  <si>
    <t>The VSD will also soft start the motor by slowly ramping it up to full speed instead of doing it instantaneously.  Variable speed drives and low pressure irrigation have many benefits besides reduced energy costs:</t>
  </si>
  <si>
    <t>Our analysis assumes pump efficiency will not change significantly when its operation moves to a new point on its performance curve with VSD control and reduced system pressure.</t>
  </si>
  <si>
    <t>The end gun nozzle size may have to be replaced from the current 0.55" to a 0.7" diameter in order to provide the desired flow and range.  This cost is negligible and therefore not included in the calculation.</t>
  </si>
  <si>
    <t>Based on annual pump electrical draw, delivered flow, and a calculated average pump head; the pump is delivering needed water at a 49.9% average system efficiency. According to the Hydraulics Institute Standard ANSI/HI-1.3, the modeled average flow and head delivered to the irrigation system can be developed up to an optimum efficiency of 71.5%.  This low efficiency could be caused by the pump operating off of its Best Efficiency Point (BEP) or by pump degradation.  We recommend having a pump specialist inspect the pump to determine if repair or replacement  is needed. Doing so could reduce associated energy consumption by 3,580 kWh resulting in an additional $250 annual cost savings. These savings are not included in this recommendation.</t>
  </si>
  <si>
    <t>Separation</t>
  </si>
  <si>
    <t>Sprinkler Manufacturer</t>
  </si>
  <si>
    <t>An alternative solution is to install a pump specifically designed to operate at the current flow conditions.  This would be beneficial as both savings mentioned above would be obtained for a total annual savings of $734 and 10,520 kWh, however, we did not recommend this because the lack of adjustability and fine tuning available if the system end use ever changes.  This system would however not be as able to adjust to varying end uses such as elevation change or end gun operation.</t>
  </si>
  <si>
    <t>AR No. #</t>
  </si>
</sst>
</file>

<file path=xl/styles.xml><?xml version="1.0" encoding="utf-8"?>
<styleSheet xmlns="http://schemas.openxmlformats.org/spreadsheetml/2006/main">
  <numFmts count="9">
    <numFmt numFmtId="5" formatCode="&quot;$&quot;#,##0_);\(&quot;$&quot;#,##0\)"/>
    <numFmt numFmtId="6" formatCode="&quot;$&quot;#,##0_);[Red]\(&quot;$&quot;#,##0\)"/>
    <numFmt numFmtId="43" formatCode="_(* #,##0.00_);_(* \(#,##0.00\);_(* &quot;-&quot;??_);_(@_)"/>
    <numFmt numFmtId="164" formatCode="0.0"/>
    <numFmt numFmtId="165" formatCode="#,##0.0"/>
    <numFmt numFmtId="166" formatCode="&quot;$&quot;#,##0"/>
    <numFmt numFmtId="167" formatCode="#,##0.0;[Red]#,##0.0"/>
    <numFmt numFmtId="168" formatCode="&quot;$&quot;#,##0.00000"/>
    <numFmt numFmtId="169" formatCode="0.0%"/>
  </numFmts>
  <fonts count="28">
    <font>
      <sz val="11"/>
      <color indexed="8"/>
      <name val="Calibri"/>
      <family val="2"/>
    </font>
    <font>
      <sz val="8"/>
      <name val="Tahoma"/>
      <family val="2"/>
    </font>
    <font>
      <b/>
      <sz val="12"/>
      <color indexed="8"/>
      <name val="Times New Roman"/>
      <family val="1"/>
    </font>
    <font>
      <sz val="12"/>
      <color indexed="8"/>
      <name val="Times New Roman"/>
      <family val="1"/>
    </font>
    <font>
      <sz val="11"/>
      <color indexed="8"/>
      <name val="Times New Roman"/>
      <family val="1"/>
    </font>
    <font>
      <sz val="10"/>
      <color indexed="8"/>
      <name val="Times New Roman"/>
      <family val="1"/>
    </font>
    <font>
      <b/>
      <sz val="20"/>
      <color indexed="9"/>
      <name val="Times New Roman"/>
      <family val="1"/>
    </font>
    <font>
      <sz val="20"/>
      <color indexed="9"/>
      <name val="Times New Roman"/>
      <family val="1"/>
    </font>
    <font>
      <sz val="9"/>
      <color indexed="8"/>
      <name val="Times New Roman"/>
      <family val="1"/>
    </font>
    <font>
      <b/>
      <sz val="10"/>
      <color indexed="8"/>
      <name val="Times New Roman"/>
      <family val="1"/>
    </font>
    <font>
      <vertAlign val="subscript"/>
      <sz val="10"/>
      <color indexed="8"/>
      <name val="Times New Roman"/>
      <family val="1"/>
    </font>
    <font>
      <sz val="11"/>
      <name val="Times New Roman"/>
      <family val="1"/>
    </font>
    <font>
      <b/>
      <sz val="9"/>
      <color indexed="8"/>
      <name val="Times New Roman"/>
      <family val="1"/>
    </font>
    <font>
      <b/>
      <i/>
      <sz val="11"/>
      <color indexed="8"/>
      <name val="Times New Roman"/>
      <family val="1"/>
    </font>
    <font>
      <i/>
      <sz val="10"/>
      <color indexed="8"/>
      <name val="Times New Roman"/>
      <family val="1"/>
    </font>
    <font>
      <b/>
      <sz val="11"/>
      <color indexed="8"/>
      <name val="Times New Roman"/>
      <family val="1"/>
    </font>
    <font>
      <sz val="10"/>
      <name val="Arial"/>
      <family val="2"/>
    </font>
    <font>
      <vertAlign val="subscript"/>
      <sz val="9"/>
      <color indexed="8"/>
      <name val="Times New Roman"/>
      <family val="1"/>
    </font>
    <font>
      <sz val="11"/>
      <color theme="1"/>
      <name val="Calibri"/>
      <family val="2"/>
      <scheme val="minor"/>
    </font>
    <font>
      <sz val="10"/>
      <color theme="1"/>
      <name val="Times New Roman"/>
      <family val="1"/>
    </font>
    <font>
      <b/>
      <sz val="10"/>
      <color theme="0"/>
      <name val="Times New Roman"/>
      <family val="1"/>
    </font>
    <font>
      <sz val="10"/>
      <color theme="0"/>
      <name val="Times New Roman"/>
      <family val="1"/>
    </font>
    <font>
      <sz val="10"/>
      <color theme="1"/>
      <name val="Calibri"/>
      <family val="2"/>
      <scheme val="minor"/>
    </font>
    <font>
      <b/>
      <sz val="11"/>
      <name val="Times New Roman"/>
      <family val="1"/>
    </font>
    <font>
      <sz val="11"/>
      <color indexed="8"/>
      <name val="Calibri"/>
      <family val="2"/>
    </font>
    <font>
      <i/>
      <sz val="11"/>
      <color indexed="8"/>
      <name val="Times New Roman"/>
      <family val="1"/>
    </font>
    <font>
      <b/>
      <sz val="11"/>
      <color theme="0"/>
      <name val="Times New Roman"/>
      <family val="1"/>
    </font>
    <font>
      <sz val="11"/>
      <color theme="0"/>
      <name val="Times New Roman"/>
      <family val="1"/>
    </font>
  </fonts>
  <fills count="14">
    <fill>
      <patternFill patternType="none"/>
    </fill>
    <fill>
      <patternFill patternType="gray125"/>
    </fill>
    <fill>
      <patternFill patternType="solid">
        <fgColor theme="0"/>
        <bgColor indexed="23"/>
      </patternFill>
    </fill>
    <fill>
      <patternFill patternType="solid">
        <fgColor theme="0" tint="-4.9989318521683403E-2"/>
        <bgColor indexed="9"/>
      </patternFill>
    </fill>
    <fill>
      <patternFill patternType="solid">
        <fgColor theme="0" tint="-0.14999847407452621"/>
        <bgColor indexed="64"/>
      </patternFill>
    </fill>
    <fill>
      <patternFill patternType="solid">
        <fgColor theme="0" tint="-0.14999847407452621"/>
        <bgColor indexed="9"/>
      </patternFill>
    </fill>
    <fill>
      <patternFill patternType="solid">
        <fgColor theme="0" tint="-0.34998626667073579"/>
        <bgColor indexed="23"/>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4" tint="0.59999389629810485"/>
        <bgColor theme="4" tint="0.59999389629810485"/>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style="double">
        <color indexed="64"/>
      </top>
      <bottom/>
      <diagonal/>
    </border>
    <border>
      <left/>
      <right/>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style="double">
        <color indexed="64"/>
      </left>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style="double">
        <color indexed="64"/>
      </left>
      <right/>
      <top style="thin">
        <color indexed="64"/>
      </top>
      <bottom/>
      <diagonal/>
    </border>
    <border>
      <left/>
      <right/>
      <top/>
      <bottom style="thick">
        <color theme="0"/>
      </bottom>
      <diagonal/>
    </border>
    <border>
      <left/>
      <right/>
      <top/>
      <bottom style="thin">
        <color theme="0"/>
      </bottom>
      <diagonal/>
    </border>
    <border>
      <left/>
      <right style="thin">
        <color theme="0"/>
      </right>
      <top/>
      <bottom style="thick">
        <color theme="0"/>
      </bottom>
      <diagonal/>
    </border>
    <border>
      <left/>
      <right style="thin">
        <color theme="0"/>
      </right>
      <top/>
      <bottom style="thin">
        <color theme="0"/>
      </bottom>
      <diagonal/>
    </border>
    <border>
      <left/>
      <right style="thin">
        <color theme="0"/>
      </right>
      <top/>
      <bottom/>
      <diagonal/>
    </border>
  </borders>
  <cellStyleXfs count="6">
    <xf numFmtId="0" fontId="0" fillId="0" borderId="0"/>
    <xf numFmtId="43" fontId="16" fillId="0" borderId="0" applyFont="0" applyFill="0" applyBorder="0" applyAlignment="0" applyProtection="0"/>
    <xf numFmtId="0" fontId="18" fillId="0" borderId="0"/>
    <xf numFmtId="0" fontId="16" fillId="0" borderId="0"/>
    <xf numFmtId="9" fontId="16" fillId="0" borderId="0" applyFont="0" applyFill="0" applyBorder="0" applyAlignment="0" applyProtection="0"/>
    <xf numFmtId="9" fontId="24" fillId="0" borderId="0" applyFont="0" applyFill="0" applyBorder="0" applyAlignment="0" applyProtection="0"/>
  </cellStyleXfs>
  <cellXfs count="307">
    <xf numFmtId="0" fontId="0" fillId="0" borderId="0" xfId="0"/>
    <xf numFmtId="0" fontId="2" fillId="0" borderId="0" xfId="0" applyFont="1"/>
    <xf numFmtId="0" fontId="3" fillId="0" borderId="0" xfId="0" applyFont="1"/>
    <xf numFmtId="0" fontId="4" fillId="0" borderId="0" xfId="0" applyFont="1"/>
    <xf numFmtId="0" fontId="3" fillId="0" borderId="0" xfId="0" applyFont="1" applyAlignment="1"/>
    <xf numFmtId="0" fontId="6" fillId="2"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horizontal="left" vertical="center"/>
    </xf>
    <xf numFmtId="0" fontId="5" fillId="0" borderId="0" xfId="0" applyFont="1" applyAlignment="1"/>
    <xf numFmtId="0" fontId="3" fillId="0" borderId="0" xfId="0" applyFont="1" applyBorder="1" applyAlignment="1"/>
    <xf numFmtId="0" fontId="2" fillId="0" borderId="0" xfId="0" applyFont="1" applyBorder="1" applyAlignment="1"/>
    <xf numFmtId="0" fontId="4" fillId="0" borderId="0" xfId="0" applyFont="1" applyBorder="1" applyAlignment="1"/>
    <xf numFmtId="0" fontId="4" fillId="0" borderId="0" xfId="0" applyFont="1" applyBorder="1"/>
    <xf numFmtId="0" fontId="2" fillId="0" borderId="0" xfId="0" applyFont="1" applyAlignment="1"/>
    <xf numFmtId="0" fontId="8" fillId="0" borderId="0" xfId="0" applyFont="1" applyBorder="1" applyAlignment="1">
      <alignment vertical="center"/>
    </xf>
    <xf numFmtId="0" fontId="5" fillId="0" borderId="0" xfId="0" applyFont="1" applyBorder="1" applyAlignment="1">
      <alignment horizontal="left" vertical="center"/>
    </xf>
    <xf numFmtId="0" fontId="4" fillId="0" borderId="0" xfId="0" applyFont="1" applyBorder="1" applyAlignment="1">
      <alignment horizontal="center"/>
    </xf>
    <xf numFmtId="0" fontId="5" fillId="0" borderId="0" xfId="0" applyFont="1"/>
    <xf numFmtId="0" fontId="3" fillId="0" borderId="0" xfId="0" applyFont="1" applyFill="1" applyBorder="1" applyAlignment="1"/>
    <xf numFmtId="0" fontId="8" fillId="0" borderId="0" xfId="0" applyFont="1"/>
    <xf numFmtId="0" fontId="4" fillId="0" borderId="0" xfId="0" applyFont="1" applyFill="1" applyBorder="1" applyAlignment="1"/>
    <xf numFmtId="0" fontId="12" fillId="0" borderId="0" xfId="0" applyFont="1" applyBorder="1" applyAlignment="1">
      <alignment horizontal="right"/>
    </xf>
    <xf numFmtId="0" fontId="4" fillId="0" borderId="0" xfId="0" applyFont="1" applyBorder="1" applyAlignment="1">
      <alignment horizontal="center" vertical="center"/>
    </xf>
    <xf numFmtId="0" fontId="4" fillId="4" borderId="1" xfId="0" applyFont="1" applyFill="1" applyBorder="1"/>
    <xf numFmtId="0" fontId="12" fillId="0" borderId="0" xfId="0" applyFont="1" applyBorder="1" applyAlignment="1">
      <alignment horizontal="left"/>
    </xf>
    <xf numFmtId="0" fontId="5" fillId="0" borderId="0" xfId="0" applyFont="1" applyBorder="1" applyAlignment="1">
      <alignment vertical="center"/>
    </xf>
    <xf numFmtId="0" fontId="4" fillId="0" borderId="0" xfId="0" applyFont="1" applyBorder="1" applyAlignment="1">
      <alignment horizontal="left"/>
    </xf>
    <xf numFmtId="0" fontId="3" fillId="0" borderId="0" xfId="0" applyFont="1" applyBorder="1" applyAlignment="1">
      <alignment horizontal="left"/>
    </xf>
    <xf numFmtId="0" fontId="4" fillId="0" borderId="0" xfId="0" applyFont="1" applyFill="1" applyBorder="1"/>
    <xf numFmtId="166" fontId="4" fillId="4" borderId="1" xfId="0" applyNumberFormat="1" applyFont="1" applyFill="1" applyBorder="1"/>
    <xf numFmtId="0" fontId="4" fillId="0" borderId="0" xfId="0" applyFont="1" applyAlignment="1"/>
    <xf numFmtId="167" fontId="4" fillId="0" borderId="0" xfId="0" applyNumberFormat="1" applyFont="1" applyFill="1" applyBorder="1"/>
    <xf numFmtId="0" fontId="5" fillId="0" borderId="0" xfId="0" applyFont="1" applyAlignment="1">
      <alignment horizontal="right"/>
    </xf>
    <xf numFmtId="0" fontId="5" fillId="0" borderId="0" xfId="0" applyFont="1" applyFill="1" applyBorder="1" applyAlignment="1">
      <alignment horizontal="right"/>
    </xf>
    <xf numFmtId="0" fontId="3" fillId="0" borderId="0" xfId="0" applyFont="1" applyBorder="1" applyAlignment="1">
      <alignment horizontal="center"/>
    </xf>
    <xf numFmtId="0" fontId="2" fillId="0" borderId="0" xfId="0" applyFont="1" applyAlignment="1">
      <alignment horizontal="center"/>
    </xf>
    <xf numFmtId="0" fontId="2" fillId="0" borderId="0" xfId="0" applyFont="1" applyBorder="1" applyAlignment="1">
      <alignment horizontal="center"/>
    </xf>
    <xf numFmtId="164" fontId="4" fillId="4" borderId="1" xfId="0" applyNumberFormat="1" applyFont="1" applyFill="1" applyBorder="1"/>
    <xf numFmtId="0" fontId="5" fillId="7" borderId="0" xfId="0" applyFont="1" applyFill="1" applyBorder="1"/>
    <xf numFmtId="0" fontId="3" fillId="0" borderId="0" xfId="0" applyFont="1" applyAlignment="1">
      <alignment vertical="top" wrapText="1"/>
    </xf>
    <xf numFmtId="0" fontId="3" fillId="0" borderId="0" xfId="0" applyFont="1" applyBorder="1"/>
    <xf numFmtId="0" fontId="2" fillId="0" borderId="0" xfId="0" applyFont="1" applyBorder="1"/>
    <xf numFmtId="0" fontId="3" fillId="7" borderId="0" xfId="0" applyFont="1" applyFill="1" applyBorder="1" applyAlignment="1">
      <alignment horizontal="center"/>
    </xf>
    <xf numFmtId="0" fontId="3" fillId="7" borderId="0" xfId="0" applyFont="1" applyFill="1" applyBorder="1" applyAlignment="1">
      <alignment horizontal="center"/>
    </xf>
    <xf numFmtId="0" fontId="5" fillId="0" borderId="0" xfId="0" applyFont="1" applyBorder="1"/>
    <xf numFmtId="0" fontId="5" fillId="0" borderId="11" xfId="0" applyFont="1" applyBorder="1"/>
    <xf numFmtId="0" fontId="5" fillId="10" borderId="13" xfId="0" applyFont="1" applyFill="1" applyBorder="1" applyAlignment="1">
      <alignment horizontal="center"/>
    </xf>
    <xf numFmtId="0" fontId="5" fillId="10" borderId="6" xfId="0" applyFont="1" applyFill="1" applyBorder="1" applyAlignment="1">
      <alignment horizontal="center"/>
    </xf>
    <xf numFmtId="0" fontId="3" fillId="7" borderId="0" xfId="0" applyFont="1" applyFill="1" applyBorder="1"/>
    <xf numFmtId="0" fontId="5" fillId="10" borderId="12" xfId="0" applyFont="1" applyFill="1" applyBorder="1" applyAlignment="1">
      <alignment horizontal="center"/>
    </xf>
    <xf numFmtId="0" fontId="5" fillId="10" borderId="18" xfId="0" applyFont="1" applyFill="1" applyBorder="1" applyAlignment="1">
      <alignment horizontal="center"/>
    </xf>
    <xf numFmtId="0" fontId="5" fillId="10" borderId="6" xfId="0" applyFont="1" applyFill="1" applyBorder="1" applyAlignment="1">
      <alignment horizontal="center" vertical="center"/>
    </xf>
    <xf numFmtId="0" fontId="5" fillId="0" borderId="18" xfId="0" applyFont="1" applyBorder="1"/>
    <xf numFmtId="0" fontId="5" fillId="0" borderId="0" xfId="0" applyFont="1" applyFill="1" applyBorder="1" applyAlignment="1">
      <alignment horizontal="center"/>
    </xf>
    <xf numFmtId="0" fontId="21" fillId="0" borderId="0" xfId="2" applyFont="1" applyFill="1" applyBorder="1"/>
    <xf numFmtId="0" fontId="22" fillId="0" borderId="0" xfId="2" applyFont="1"/>
    <xf numFmtId="0" fontId="5" fillId="0" borderId="0" xfId="2" applyFont="1" applyFill="1" applyBorder="1"/>
    <xf numFmtId="0" fontId="19" fillId="0" borderId="0" xfId="2" applyFont="1" applyFill="1" applyBorder="1" applyAlignment="1">
      <alignment horizontal="center" vertical="center"/>
    </xf>
    <xf numFmtId="0" fontId="19" fillId="0" borderId="0" xfId="2" applyFont="1" applyFill="1" applyBorder="1"/>
    <xf numFmtId="0" fontId="5" fillId="0" borderId="0" xfId="2" applyFont="1" applyFill="1" applyBorder="1" applyAlignment="1">
      <alignment horizontal="center" vertical="center"/>
    </xf>
    <xf numFmtId="0" fontId="21" fillId="0" borderId="0" xfId="2" applyFont="1" applyFill="1" applyBorder="1" applyAlignment="1">
      <alignment horizontal="center" vertical="center"/>
    </xf>
    <xf numFmtId="0" fontId="20" fillId="11" borderId="27" xfId="2" applyFont="1" applyFill="1" applyBorder="1"/>
    <xf numFmtId="0" fontId="5" fillId="13" borderId="0" xfId="2" applyFont="1" applyFill="1" applyBorder="1"/>
    <xf numFmtId="0" fontId="5" fillId="13" borderId="28" xfId="2" applyFont="1" applyFill="1" applyBorder="1"/>
    <xf numFmtId="0" fontId="5" fillId="12" borderId="28" xfId="2" applyFont="1" applyFill="1" applyBorder="1"/>
    <xf numFmtId="0" fontId="20" fillId="11" borderId="29" xfId="2" applyFont="1" applyFill="1" applyBorder="1" applyAlignment="1">
      <alignment horizontal="center" vertical="center"/>
    </xf>
    <xf numFmtId="0" fontId="20" fillId="11" borderId="27" xfId="2" applyFont="1" applyFill="1" applyBorder="1" applyAlignment="1">
      <alignment horizontal="center" vertical="center"/>
    </xf>
    <xf numFmtId="3" fontId="5" fillId="13" borderId="30" xfId="2" applyNumberFormat="1" applyFont="1" applyFill="1" applyBorder="1" applyAlignment="1">
      <alignment horizontal="center" vertical="center"/>
    </xf>
    <xf numFmtId="0" fontId="19" fillId="13" borderId="30" xfId="2" applyFont="1" applyFill="1" applyBorder="1"/>
    <xf numFmtId="0" fontId="5" fillId="13" borderId="30" xfId="2" applyFont="1" applyFill="1" applyBorder="1" applyAlignment="1">
      <alignment horizontal="center" vertical="center"/>
    </xf>
    <xf numFmtId="0" fontId="19" fillId="13" borderId="28" xfId="2" applyFont="1" applyFill="1" applyBorder="1" applyAlignment="1">
      <alignment horizontal="center" vertical="center"/>
    </xf>
    <xf numFmtId="3" fontId="5" fillId="12" borderId="30" xfId="2" applyNumberFormat="1" applyFont="1" applyFill="1" applyBorder="1" applyAlignment="1">
      <alignment horizontal="center" vertical="center"/>
    </xf>
    <xf numFmtId="0" fontId="19" fillId="12" borderId="30" xfId="2" applyFont="1" applyFill="1" applyBorder="1"/>
    <xf numFmtId="0" fontId="5" fillId="12" borderId="30" xfId="2" applyFont="1" applyFill="1" applyBorder="1" applyAlignment="1">
      <alignment horizontal="center" vertical="center"/>
    </xf>
    <xf numFmtId="0" fontId="19" fillId="12" borderId="30" xfId="2" applyFont="1" applyFill="1" applyBorder="1" applyAlignment="1">
      <alignment horizontal="center" vertical="center"/>
    </xf>
    <xf numFmtId="0" fontId="5" fillId="12" borderId="28" xfId="2" applyFont="1" applyFill="1" applyBorder="1" applyAlignment="1">
      <alignment horizontal="center" vertical="center"/>
    </xf>
    <xf numFmtId="0" fontId="19" fillId="13" borderId="30" xfId="2" applyFont="1" applyFill="1" applyBorder="1" applyAlignment="1">
      <alignment horizontal="center" vertical="center"/>
    </xf>
    <xf numFmtId="0" fontId="5" fillId="13" borderId="28" xfId="2" applyFont="1" applyFill="1" applyBorder="1" applyAlignment="1">
      <alignment horizontal="center" vertical="center"/>
    </xf>
    <xf numFmtId="0" fontId="5" fillId="12" borderId="31" xfId="2" applyFont="1" applyFill="1" applyBorder="1" applyAlignment="1">
      <alignment horizontal="center" vertical="center"/>
    </xf>
    <xf numFmtId="0" fontId="19" fillId="12" borderId="31" xfId="2" applyFont="1" applyFill="1" applyBorder="1" applyAlignment="1">
      <alignment horizontal="center" vertical="center"/>
    </xf>
    <xf numFmtId="0" fontId="5" fillId="12" borderId="0" xfId="2" applyFont="1" applyFill="1" applyBorder="1" applyAlignment="1">
      <alignment horizontal="center" vertical="center"/>
    </xf>
    <xf numFmtId="0" fontId="20" fillId="11" borderId="29" xfId="2" applyFont="1" applyFill="1" applyBorder="1" applyAlignment="1">
      <alignment horizontal="center"/>
    </xf>
    <xf numFmtId="0" fontId="19" fillId="12" borderId="28" xfId="2" applyFont="1" applyFill="1" applyBorder="1" applyAlignment="1">
      <alignment horizontal="center" vertical="center"/>
    </xf>
    <xf numFmtId="0" fontId="19" fillId="12" borderId="0" xfId="2" applyFont="1" applyFill="1" applyBorder="1" applyAlignment="1">
      <alignment horizontal="center" vertical="center"/>
    </xf>
    <xf numFmtId="0" fontId="19" fillId="13" borderId="31" xfId="2" applyFont="1" applyFill="1" applyBorder="1" applyAlignment="1">
      <alignment horizontal="center" vertical="center"/>
    </xf>
    <xf numFmtId="0" fontId="19" fillId="13" borderId="0" xfId="2" applyFont="1" applyFill="1" applyBorder="1" applyAlignment="1">
      <alignment horizontal="center" vertical="center"/>
    </xf>
    <xf numFmtId="0" fontId="5" fillId="12" borderId="0" xfId="2" applyFont="1" applyFill="1" applyBorder="1"/>
    <xf numFmtId="0" fontId="20" fillId="11" borderId="29" xfId="2" applyFont="1" applyFill="1" applyBorder="1" applyAlignment="1">
      <alignment horizontal="left"/>
    </xf>
    <xf numFmtId="0" fontId="5" fillId="13" borderId="30" xfId="2" applyFont="1" applyFill="1" applyBorder="1" applyAlignment="1">
      <alignment horizontal="center"/>
    </xf>
    <xf numFmtId="0" fontId="5" fillId="13" borderId="30" xfId="2" applyFont="1" applyFill="1" applyBorder="1" applyAlignment="1">
      <alignment horizontal="left"/>
    </xf>
    <xf numFmtId="4" fontId="5" fillId="13" borderId="30" xfId="2" applyNumberFormat="1" applyFont="1" applyFill="1" applyBorder="1" applyAlignment="1">
      <alignment horizontal="center"/>
    </xf>
    <xf numFmtId="4" fontId="5" fillId="13" borderId="28" xfId="2" applyNumberFormat="1" applyFont="1" applyFill="1" applyBorder="1" applyAlignment="1">
      <alignment horizontal="center"/>
    </xf>
    <xf numFmtId="0" fontId="5" fillId="12" borderId="30" xfId="2" applyFont="1" applyFill="1" applyBorder="1" applyAlignment="1">
      <alignment horizontal="center"/>
    </xf>
    <xf numFmtId="0" fontId="5" fillId="12" borderId="30" xfId="2" applyFont="1" applyFill="1" applyBorder="1" applyAlignment="1">
      <alignment horizontal="left"/>
    </xf>
    <xf numFmtId="4" fontId="5" fillId="12" borderId="30" xfId="2" applyNumberFormat="1" applyFont="1" applyFill="1" applyBorder="1" applyAlignment="1">
      <alignment horizontal="center"/>
    </xf>
    <xf numFmtId="4" fontId="5" fillId="12" borderId="28" xfId="2" applyNumberFormat="1" applyFont="1" applyFill="1" applyBorder="1" applyAlignment="1">
      <alignment horizontal="center"/>
    </xf>
    <xf numFmtId="0" fontId="5" fillId="12" borderId="31" xfId="2" applyFont="1" applyFill="1" applyBorder="1" applyAlignment="1">
      <alignment horizontal="center"/>
    </xf>
    <xf numFmtId="0" fontId="5" fillId="12" borderId="31" xfId="2" applyFont="1" applyFill="1" applyBorder="1" applyAlignment="1">
      <alignment horizontal="left"/>
    </xf>
    <xf numFmtId="4" fontId="5" fillId="12" borderId="31" xfId="2" applyNumberFormat="1" applyFont="1" applyFill="1" applyBorder="1" applyAlignment="1">
      <alignment horizontal="center"/>
    </xf>
    <xf numFmtId="4" fontId="5" fillId="12" borderId="0" xfId="2" applyNumberFormat="1" applyFont="1" applyFill="1" applyBorder="1" applyAlignment="1">
      <alignment horizontal="center"/>
    </xf>
    <xf numFmtId="164" fontId="20" fillId="11" borderId="29" xfId="2" applyNumberFormat="1" applyFont="1" applyFill="1" applyBorder="1" applyAlignment="1">
      <alignment horizontal="center"/>
    </xf>
    <xf numFmtId="164" fontId="20" fillId="11" borderId="27" xfId="2" applyNumberFormat="1" applyFont="1" applyFill="1" applyBorder="1" applyAlignment="1">
      <alignment horizontal="center"/>
    </xf>
    <xf numFmtId="0" fontId="2" fillId="0" borderId="0" xfId="2" applyFont="1" applyBorder="1" applyAlignment="1">
      <alignment horizontal="left"/>
    </xf>
    <xf numFmtId="0" fontId="13" fillId="0" borderId="0" xfId="2" applyFont="1" applyAlignment="1">
      <alignment horizontal="left"/>
    </xf>
    <xf numFmtId="0" fontId="5" fillId="0" borderId="0" xfId="2" applyFont="1" applyBorder="1" applyAlignment="1">
      <alignment horizontal="left"/>
    </xf>
    <xf numFmtId="0" fontId="4" fillId="0" borderId="0" xfId="2" applyFont="1" applyBorder="1" applyAlignment="1">
      <alignment horizontal="left"/>
    </xf>
    <xf numFmtId="0" fontId="5" fillId="0" borderId="0" xfId="2" applyFont="1" applyBorder="1" applyAlignment="1">
      <alignment horizontal="right"/>
    </xf>
    <xf numFmtId="0" fontId="8" fillId="0" borderId="0" xfId="2" applyFont="1" applyBorder="1" applyAlignment="1">
      <alignment horizontal="left"/>
    </xf>
    <xf numFmtId="0" fontId="12" fillId="0" borderId="0" xfId="2" applyFont="1" applyAlignment="1">
      <alignment horizontal="right"/>
    </xf>
    <xf numFmtId="0" fontId="4" fillId="0" borderId="0" xfId="2" applyFont="1" applyAlignment="1">
      <alignment horizontal="left"/>
    </xf>
    <xf numFmtId="0" fontId="5" fillId="0" borderId="0" xfId="2" applyFont="1" applyAlignment="1">
      <alignment horizontal="right"/>
    </xf>
    <xf numFmtId="0" fontId="8" fillId="0" borderId="0" xfId="2" applyFont="1" applyAlignment="1">
      <alignment horizontal="left"/>
    </xf>
    <xf numFmtId="0" fontId="4" fillId="0" borderId="0" xfId="2" applyFont="1"/>
    <xf numFmtId="0" fontId="4" fillId="0" borderId="0" xfId="2" applyFont="1" applyBorder="1" applyAlignment="1">
      <alignment horizontal="right"/>
    </xf>
    <xf numFmtId="3" fontId="4" fillId="4" borderId="1" xfId="2" applyNumberFormat="1" applyFont="1" applyFill="1" applyBorder="1"/>
    <xf numFmtId="0" fontId="4" fillId="0" borderId="0" xfId="2" applyFont="1" applyAlignment="1">
      <alignment horizontal="right"/>
    </xf>
    <xf numFmtId="0" fontId="9" fillId="0" borderId="0" xfId="2" applyFont="1" applyFill="1" applyBorder="1" applyAlignment="1">
      <alignment horizontal="left"/>
    </xf>
    <xf numFmtId="0" fontId="4" fillId="0" borderId="0" xfId="0" applyNumberFormat="1" applyFont="1" applyFill="1" applyBorder="1" applyAlignment="1">
      <alignment horizontal="right"/>
    </xf>
    <xf numFmtId="0" fontId="2" fillId="0" borderId="0" xfId="2" applyFont="1" applyAlignment="1">
      <alignment horizontal="left"/>
    </xf>
    <xf numFmtId="0" fontId="12" fillId="0" borderId="0" xfId="2" applyFont="1" applyBorder="1" applyAlignment="1">
      <alignment horizontal="right"/>
    </xf>
    <xf numFmtId="0" fontId="4" fillId="0" borderId="0" xfId="2" applyFont="1" applyFill="1" applyBorder="1" applyAlignment="1">
      <alignment horizontal="left"/>
    </xf>
    <xf numFmtId="0" fontId="5" fillId="0" borderId="0" xfId="2" applyFont="1" applyFill="1" applyBorder="1" applyAlignment="1">
      <alignment horizontal="right"/>
    </xf>
    <xf numFmtId="165" fontId="4" fillId="4" borderId="1" xfId="2" applyNumberFormat="1" applyFont="1" applyFill="1" applyBorder="1"/>
    <xf numFmtId="0" fontId="9" fillId="0" borderId="0" xfId="2" applyFont="1" applyBorder="1" applyAlignment="1">
      <alignment horizontal="left" vertical="top"/>
    </xf>
    <xf numFmtId="0" fontId="8" fillId="0" borderId="0" xfId="2" applyFont="1" applyFill="1" applyBorder="1" applyAlignment="1">
      <alignment horizontal="left"/>
    </xf>
    <xf numFmtId="0" fontId="4" fillId="0" borderId="0" xfId="2" applyNumberFormat="1" applyFont="1" applyBorder="1"/>
    <xf numFmtId="166" fontId="4" fillId="5" borderId="1" xfId="2" applyNumberFormat="1" applyFont="1" applyFill="1" applyBorder="1" applyAlignment="1"/>
    <xf numFmtId="0" fontId="4" fillId="0" borderId="0" xfId="2" applyNumberFormat="1" applyFont="1" applyBorder="1" applyAlignment="1"/>
    <xf numFmtId="0" fontId="3" fillId="0" borderId="0" xfId="2" applyFont="1" applyBorder="1" applyAlignment="1">
      <alignment horizontal="right"/>
    </xf>
    <xf numFmtId="164" fontId="4" fillId="5" borderId="1" xfId="2" applyNumberFormat="1" applyFont="1" applyFill="1" applyBorder="1" applyAlignment="1"/>
    <xf numFmtId="0" fontId="9" fillId="0" borderId="0" xfId="2" applyFont="1" applyAlignment="1">
      <alignment vertical="center" wrapText="1"/>
    </xf>
    <xf numFmtId="0" fontId="3" fillId="0" borderId="0" xfId="0" applyFont="1" applyAlignment="1">
      <alignment horizontal="right" vertical="top" wrapText="1"/>
    </xf>
    <xf numFmtId="0" fontId="3" fillId="0" borderId="0" xfId="0" applyFont="1" applyBorder="1" applyAlignment="1">
      <alignment vertical="top" wrapText="1"/>
    </xf>
    <xf numFmtId="0" fontId="14" fillId="0" borderId="0" xfId="0" applyFont="1" applyBorder="1" applyAlignment="1"/>
    <xf numFmtId="0" fontId="3" fillId="0" borderId="0" xfId="0" applyFont="1" applyAlignment="1">
      <alignment horizontal="right"/>
    </xf>
    <xf numFmtId="0" fontId="9" fillId="9" borderId="1" xfId="0" applyFont="1" applyFill="1" applyBorder="1" applyAlignment="1">
      <alignment horizontal="center"/>
    </xf>
    <xf numFmtId="0" fontId="5" fillId="4" borderId="7" xfId="0" applyFont="1" applyFill="1" applyBorder="1" applyAlignment="1">
      <alignment horizontal="center"/>
    </xf>
    <xf numFmtId="0" fontId="5" fillId="4" borderId="14" xfId="0" applyFont="1" applyFill="1" applyBorder="1" applyAlignment="1">
      <alignment horizontal="center"/>
    </xf>
    <xf numFmtId="0" fontId="5" fillId="4" borderId="8" xfId="0" applyFont="1" applyFill="1" applyBorder="1" applyAlignment="1">
      <alignment horizontal="center"/>
    </xf>
    <xf numFmtId="0" fontId="5" fillId="4" borderId="5" xfId="0" applyFont="1" applyFill="1" applyBorder="1" applyAlignment="1">
      <alignment horizontal="center"/>
    </xf>
    <xf numFmtId="0" fontId="5" fillId="0" borderId="7" xfId="0" applyFont="1" applyFill="1" applyBorder="1" applyAlignment="1">
      <alignment horizontal="center"/>
    </xf>
    <xf numFmtId="165" fontId="5" fillId="0" borderId="14" xfId="0" applyNumberFormat="1" applyFont="1" applyFill="1" applyBorder="1" applyAlignment="1">
      <alignment horizontal="center"/>
    </xf>
    <xf numFmtId="0" fontId="5" fillId="0" borderId="14" xfId="0" applyFont="1" applyFill="1" applyBorder="1" applyAlignment="1">
      <alignment horizontal="center"/>
    </xf>
    <xf numFmtId="2" fontId="5" fillId="0" borderId="14" xfId="0" applyNumberFormat="1" applyFont="1" applyFill="1" applyBorder="1" applyAlignment="1">
      <alignment horizontal="center"/>
    </xf>
    <xf numFmtId="165" fontId="5" fillId="0" borderId="8" xfId="0" applyNumberFormat="1" applyFont="1" applyFill="1" applyBorder="1" applyAlignment="1">
      <alignment horizontal="center"/>
    </xf>
    <xf numFmtId="0" fontId="5" fillId="4" borderId="9" xfId="0" applyFont="1" applyFill="1" applyBorder="1" applyAlignment="1">
      <alignment horizontal="center"/>
    </xf>
    <xf numFmtId="165" fontId="5" fillId="4" borderId="0" xfId="0" applyNumberFormat="1" applyFont="1" applyFill="1" applyBorder="1" applyAlignment="1">
      <alignment horizontal="center"/>
    </xf>
    <xf numFmtId="164" fontId="5" fillId="4" borderId="0" xfId="0" applyNumberFormat="1" applyFont="1" applyFill="1" applyBorder="1" applyAlignment="1">
      <alignment horizontal="center"/>
    </xf>
    <xf numFmtId="0" fontId="5" fillId="4" borderId="0" xfId="0" applyFont="1" applyFill="1" applyBorder="1" applyAlignment="1">
      <alignment horizontal="center"/>
    </xf>
    <xf numFmtId="2" fontId="5" fillId="4" borderId="0" xfId="0" applyNumberFormat="1" applyFont="1" applyFill="1" applyBorder="1" applyAlignment="1">
      <alignment horizontal="center"/>
    </xf>
    <xf numFmtId="165" fontId="5" fillId="4" borderId="11" xfId="0" applyNumberFormat="1" applyFont="1" applyFill="1" applyBorder="1" applyAlignment="1">
      <alignment horizontal="center"/>
    </xf>
    <xf numFmtId="0" fontId="5" fillId="0" borderId="9" xfId="0" applyFont="1" applyFill="1" applyBorder="1" applyAlignment="1">
      <alignment horizontal="center"/>
    </xf>
    <xf numFmtId="165" fontId="5" fillId="0" borderId="0" xfId="0" applyNumberFormat="1" applyFont="1" applyFill="1" applyBorder="1" applyAlignment="1">
      <alignment horizontal="center"/>
    </xf>
    <xf numFmtId="164" fontId="5"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165" fontId="5" fillId="0" borderId="11" xfId="0" applyNumberFormat="1" applyFont="1" applyFill="1" applyBorder="1" applyAlignment="1">
      <alignment horizontal="center"/>
    </xf>
    <xf numFmtId="0" fontId="5" fillId="0" borderId="12" xfId="0" applyFont="1" applyFill="1" applyBorder="1" applyAlignment="1">
      <alignment horizontal="center"/>
    </xf>
    <xf numFmtId="165" fontId="5" fillId="0" borderId="18" xfId="0" applyNumberFormat="1" applyFont="1" applyFill="1" applyBorder="1" applyAlignment="1">
      <alignment horizontal="center"/>
    </xf>
    <xf numFmtId="164" fontId="5" fillId="0" borderId="18" xfId="0" applyNumberFormat="1" applyFont="1" applyFill="1" applyBorder="1" applyAlignment="1">
      <alignment horizontal="center"/>
    </xf>
    <xf numFmtId="0" fontId="5" fillId="0" borderId="18" xfId="0" applyFont="1" applyFill="1" applyBorder="1" applyAlignment="1">
      <alignment horizontal="center"/>
    </xf>
    <xf numFmtId="2" fontId="5" fillId="0" borderId="18" xfId="0" applyNumberFormat="1" applyFont="1" applyFill="1" applyBorder="1" applyAlignment="1">
      <alignment horizontal="center"/>
    </xf>
    <xf numFmtId="165" fontId="5" fillId="0" borderId="13" xfId="0" applyNumberFormat="1" applyFont="1" applyFill="1" applyBorder="1" applyAlignment="1">
      <alignment horizontal="center"/>
    </xf>
    <xf numFmtId="164" fontId="5" fillId="0" borderId="14" xfId="0" applyNumberFormat="1" applyFont="1" applyFill="1" applyBorder="1" applyAlignment="1">
      <alignment horizontal="center"/>
    </xf>
    <xf numFmtId="0" fontId="5" fillId="4" borderId="12" xfId="0" applyFont="1" applyFill="1" applyBorder="1" applyAlignment="1">
      <alignment horizontal="center"/>
    </xf>
    <xf numFmtId="165" fontId="5" fillId="4" borderId="18" xfId="0" applyNumberFormat="1" applyFont="1" applyFill="1" applyBorder="1" applyAlignment="1">
      <alignment horizontal="center"/>
    </xf>
    <xf numFmtId="164" fontId="5" fillId="4" borderId="18" xfId="0" applyNumberFormat="1" applyFont="1" applyFill="1" applyBorder="1" applyAlignment="1">
      <alignment horizontal="center"/>
    </xf>
    <xf numFmtId="0" fontId="5" fillId="4" borderId="18" xfId="0" applyFont="1" applyFill="1" applyBorder="1" applyAlignment="1">
      <alignment horizontal="center"/>
    </xf>
    <xf numFmtId="2" fontId="5" fillId="4" borderId="18" xfId="0" applyNumberFormat="1" applyFont="1" applyFill="1" applyBorder="1" applyAlignment="1">
      <alignment horizontal="center"/>
    </xf>
    <xf numFmtId="165" fontId="5" fillId="4" borderId="13" xfId="0" applyNumberFormat="1" applyFont="1" applyFill="1" applyBorder="1" applyAlignment="1">
      <alignment horizontal="center"/>
    </xf>
    <xf numFmtId="0" fontId="9" fillId="7" borderId="14" xfId="0" applyFont="1" applyFill="1" applyBorder="1" applyAlignment="1"/>
    <xf numFmtId="0" fontId="5" fillId="4" borderId="5" xfId="0" applyFont="1" applyFill="1" applyBorder="1" applyAlignment="1">
      <alignment horizontal="center" vertical="center"/>
    </xf>
    <xf numFmtId="0" fontId="5" fillId="9" borderId="1" xfId="0" applyFont="1" applyFill="1" applyBorder="1"/>
    <xf numFmtId="0" fontId="5" fillId="7" borderId="2" xfId="0" applyFont="1" applyFill="1" applyBorder="1" applyAlignment="1">
      <alignment horizontal="center"/>
    </xf>
    <xf numFmtId="0" fontId="5" fillId="7" borderId="3" xfId="0" applyFont="1" applyFill="1" applyBorder="1" applyAlignment="1">
      <alignment horizontal="center"/>
    </xf>
    <xf numFmtId="2" fontId="5" fillId="7" borderId="3" xfId="0" applyNumberFormat="1" applyFont="1" applyFill="1" applyBorder="1" applyAlignment="1">
      <alignment horizontal="center"/>
    </xf>
    <xf numFmtId="164" fontId="5" fillId="7" borderId="3" xfId="0" applyNumberFormat="1" applyFont="1" applyFill="1" applyBorder="1" applyAlignment="1">
      <alignment horizontal="center"/>
    </xf>
    <xf numFmtId="165" fontId="5" fillId="7" borderId="3" xfId="0" applyNumberFormat="1" applyFont="1" applyFill="1" applyBorder="1" applyAlignment="1">
      <alignment horizontal="center"/>
    </xf>
    <xf numFmtId="164" fontId="5" fillId="0" borderId="3" xfId="0" applyNumberFormat="1" applyFont="1" applyBorder="1" applyAlignment="1">
      <alignment horizontal="center"/>
    </xf>
    <xf numFmtId="165" fontId="5" fillId="7" borderId="4" xfId="0" applyNumberFormat="1" applyFont="1" applyFill="1" applyBorder="1" applyAlignment="1">
      <alignment horizontal="center"/>
    </xf>
    <xf numFmtId="0" fontId="5" fillId="9" borderId="7" xfId="0" applyFont="1" applyFill="1" applyBorder="1"/>
    <xf numFmtId="0" fontId="5" fillId="9" borderId="8" xfId="0" applyFont="1" applyFill="1" applyBorder="1"/>
    <xf numFmtId="0" fontId="5" fillId="0" borderId="7" xfId="0" applyFont="1" applyBorder="1"/>
    <xf numFmtId="0" fontId="5" fillId="0" borderId="8" xfId="0" applyFont="1" applyBorder="1"/>
    <xf numFmtId="0" fontId="5" fillId="9" borderId="9" xfId="0" applyFont="1" applyFill="1" applyBorder="1"/>
    <xf numFmtId="0" fontId="5" fillId="9" borderId="11" xfId="0" applyFont="1" applyFill="1" applyBorder="1"/>
    <xf numFmtId="0" fontId="5" fillId="0" borderId="9" xfId="0" applyFont="1" applyBorder="1"/>
    <xf numFmtId="165" fontId="5" fillId="0" borderId="9" xfId="0" applyNumberFormat="1" applyFont="1" applyBorder="1"/>
    <xf numFmtId="0" fontId="5" fillId="9" borderId="12" xfId="0" applyFont="1" applyFill="1" applyBorder="1"/>
    <xf numFmtId="0" fontId="5" fillId="9" borderId="13" xfId="0" applyFont="1" applyFill="1" applyBorder="1"/>
    <xf numFmtId="165" fontId="5" fillId="0" borderId="0" xfId="0" applyNumberFormat="1" applyFont="1" applyBorder="1"/>
    <xf numFmtId="2" fontId="5" fillId="0" borderId="0" xfId="0" applyNumberFormat="1" applyFont="1" applyBorder="1"/>
    <xf numFmtId="165" fontId="5" fillId="0" borderId="18" xfId="0" applyNumberFormat="1" applyFont="1" applyBorder="1"/>
    <xf numFmtId="2" fontId="5" fillId="0" borderId="18" xfId="0" applyNumberFormat="1" applyFont="1" applyBorder="1"/>
    <xf numFmtId="164" fontId="4" fillId="4" borderId="1" xfId="2" applyNumberFormat="1" applyFont="1" applyFill="1" applyBorder="1"/>
    <xf numFmtId="0" fontId="0" fillId="0" borderId="0" xfId="0" applyAlignment="1">
      <alignment horizontal="left"/>
    </xf>
    <xf numFmtId="0" fontId="4" fillId="0" borderId="0" xfId="0" applyFont="1" applyAlignment="1">
      <alignment horizontal="left"/>
    </xf>
    <xf numFmtId="0" fontId="11" fillId="0" borderId="0" xfId="3" applyFont="1" applyProtection="1"/>
    <xf numFmtId="0" fontId="4" fillId="0" borderId="0" xfId="0" applyFont="1" applyProtection="1"/>
    <xf numFmtId="166" fontId="11" fillId="10" borderId="0" xfId="3" applyNumberFormat="1" applyFont="1" applyFill="1" applyBorder="1" applyAlignment="1" applyProtection="1">
      <alignment horizontal="center"/>
    </xf>
    <xf numFmtId="0" fontId="23" fillId="0" borderId="0" xfId="3" applyFont="1" applyProtection="1"/>
    <xf numFmtId="0" fontId="11" fillId="0" borderId="0" xfId="3" applyFont="1" applyAlignment="1" applyProtection="1">
      <alignment vertical="center"/>
    </xf>
    <xf numFmtId="164" fontId="11" fillId="0" borderId="0" xfId="3" applyNumberFormat="1" applyFont="1" applyProtection="1"/>
    <xf numFmtId="0" fontId="15" fillId="0" borderId="0" xfId="0" applyFont="1"/>
    <xf numFmtId="15" fontId="4" fillId="0" borderId="0" xfId="0" applyNumberFormat="1" applyFont="1" applyAlignment="1">
      <alignment horizontal="left"/>
    </xf>
    <xf numFmtId="0" fontId="13" fillId="0" borderId="0" xfId="0" applyFont="1"/>
    <xf numFmtId="0" fontId="13" fillId="0" borderId="0" xfId="0" applyFont="1" applyAlignment="1">
      <alignment horizontal="center"/>
    </xf>
    <xf numFmtId="0" fontId="25" fillId="0" borderId="0" xfId="0" applyFont="1" applyAlignment="1">
      <alignment vertical="center"/>
    </xf>
    <xf numFmtId="169" fontId="4" fillId="0" borderId="1" xfId="0" applyNumberFormat="1" applyFont="1" applyBorder="1"/>
    <xf numFmtId="0" fontId="4" fillId="4" borderId="1" xfId="0" applyNumberFormat="1" applyFont="1" applyFill="1" applyBorder="1" applyAlignment="1">
      <alignment vertical="center"/>
    </xf>
    <xf numFmtId="0" fontId="4" fillId="0" borderId="1" xfId="0" applyNumberFormat="1" applyFont="1" applyBorder="1"/>
    <xf numFmtId="0" fontId="11" fillId="4" borderId="1" xfId="5" applyNumberFormat="1" applyFont="1" applyFill="1" applyBorder="1" applyAlignment="1">
      <alignment vertical="center"/>
    </xf>
    <xf numFmtId="166" fontId="11" fillId="0" borderId="0" xfId="3" applyNumberFormat="1" applyFont="1" applyFill="1" applyBorder="1" applyAlignment="1" applyProtection="1">
      <alignment horizontal="center"/>
    </xf>
    <xf numFmtId="0" fontId="11" fillId="0" borderId="0" xfId="1" applyNumberFormat="1" applyFont="1" applyFill="1" applyBorder="1" applyAlignment="1" applyProtection="1">
      <alignment horizontal="center"/>
    </xf>
    <xf numFmtId="5" fontId="11" fillId="0" borderId="0" xfId="3" applyNumberFormat="1" applyFont="1" applyFill="1" applyBorder="1" applyAlignment="1" applyProtection="1">
      <alignment horizontal="center"/>
    </xf>
    <xf numFmtId="0" fontId="11" fillId="0" borderId="0" xfId="3" applyNumberFormat="1" applyFont="1" applyFill="1" applyBorder="1" applyAlignment="1" applyProtection="1">
      <alignment horizontal="center"/>
    </xf>
    <xf numFmtId="0" fontId="11" fillId="10" borderId="0" xfId="3" applyNumberFormat="1" applyFont="1" applyFill="1" applyBorder="1" applyAlignment="1" applyProtection="1">
      <alignment horizontal="center"/>
    </xf>
    <xf numFmtId="5" fontId="11" fillId="10" borderId="0" xfId="3" applyNumberFormat="1" applyFont="1" applyFill="1" applyBorder="1" applyAlignment="1" applyProtection="1">
      <alignment horizontal="center"/>
    </xf>
    <xf numFmtId="0" fontId="26" fillId="0" borderId="0" xfId="3" applyFont="1" applyFill="1" applyBorder="1" applyAlignment="1" applyProtection="1">
      <alignment horizontal="center"/>
    </xf>
    <xf numFmtId="3" fontId="11" fillId="0" borderId="0" xfId="3" applyNumberFormat="1" applyFont="1" applyFill="1" applyBorder="1" applyAlignment="1" applyProtection="1">
      <alignment horizontal="center"/>
      <protection locked="0"/>
    </xf>
    <xf numFmtId="0" fontId="27" fillId="0" borderId="0" xfId="3" applyFont="1" applyFill="1" applyBorder="1" applyAlignment="1" applyProtection="1">
      <alignment horizontal="center"/>
    </xf>
    <xf numFmtId="0" fontId="2" fillId="0" borderId="0" xfId="0" applyFont="1" applyAlignment="1">
      <alignment horizontal="center"/>
    </xf>
    <xf numFmtId="0" fontId="5" fillId="0" borderId="0"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3" fillId="0" borderId="0" xfId="0" applyFont="1" applyBorder="1" applyAlignment="1">
      <alignment horizontal="center"/>
    </xf>
    <xf numFmtId="0" fontId="5" fillId="9" borderId="1" xfId="0" applyFont="1" applyFill="1" applyBorder="1" applyAlignment="1">
      <alignment horizontal="center"/>
    </xf>
    <xf numFmtId="0" fontId="5" fillId="0" borderId="9" xfId="0" applyFont="1" applyBorder="1" applyAlignment="1">
      <alignment horizontal="center"/>
    </xf>
    <xf numFmtId="0" fontId="5" fillId="0" borderId="11" xfId="0" applyFont="1" applyBorder="1" applyAlignment="1">
      <alignment horizontal="center"/>
    </xf>
    <xf numFmtId="0" fontId="9" fillId="9" borderId="1" xfId="0" applyFont="1" applyFill="1" applyBorder="1" applyAlignment="1">
      <alignment horizontal="center"/>
    </xf>
    <xf numFmtId="0" fontId="5" fillId="10" borderId="12" xfId="0" applyFont="1" applyFill="1" applyBorder="1" applyAlignment="1">
      <alignment horizontal="center"/>
    </xf>
    <xf numFmtId="0" fontId="5" fillId="10" borderId="18" xfId="0" applyFont="1" applyFill="1" applyBorder="1" applyAlignment="1">
      <alignment horizontal="center"/>
    </xf>
    <xf numFmtId="164" fontId="5" fillId="7" borderId="3" xfId="0" applyNumberFormat="1" applyFont="1" applyFill="1" applyBorder="1" applyAlignment="1">
      <alignment horizontal="center"/>
    </xf>
    <xf numFmtId="0" fontId="5" fillId="7" borderId="3" xfId="0" applyFont="1" applyFill="1" applyBorder="1" applyAlignment="1">
      <alignment horizontal="center"/>
    </xf>
    <xf numFmtId="0" fontId="5" fillId="4" borderId="7" xfId="0" applyFont="1" applyFill="1" applyBorder="1" applyAlignment="1">
      <alignment horizontal="center"/>
    </xf>
    <xf numFmtId="0" fontId="5" fillId="4" borderId="14" xfId="0" applyFont="1" applyFill="1" applyBorder="1" applyAlignment="1">
      <alignment horizontal="center"/>
    </xf>
    <xf numFmtId="0" fontId="5" fillId="4" borderId="14" xfId="0" applyFont="1" applyFill="1" applyBorder="1" applyAlignment="1">
      <alignment horizontal="center"/>
    </xf>
    <xf numFmtId="0" fontId="9" fillId="9" borderId="5" xfId="0" applyFont="1" applyFill="1" applyBorder="1" applyAlignment="1">
      <alignment vertical="center" textRotation="90"/>
    </xf>
    <xf numFmtId="165" fontId="5" fillId="4" borderId="14" xfId="0" applyNumberFormat="1" applyFont="1" applyFill="1" applyBorder="1" applyAlignment="1">
      <alignment horizontal="center"/>
    </xf>
    <xf numFmtId="164" fontId="5" fillId="4" borderId="14" xfId="0" applyNumberFormat="1" applyFont="1" applyFill="1" applyBorder="1" applyAlignment="1">
      <alignment horizontal="center"/>
    </xf>
    <xf numFmtId="2" fontId="5" fillId="4" borderId="14" xfId="0" applyNumberFormat="1" applyFont="1" applyFill="1" applyBorder="1" applyAlignment="1">
      <alignment horizontal="center"/>
    </xf>
    <xf numFmtId="165" fontId="5" fillId="4" borderId="8" xfId="0" applyNumberFormat="1" applyFont="1" applyFill="1" applyBorder="1" applyAlignment="1">
      <alignment horizontal="center"/>
    </xf>
    <xf numFmtId="0" fontId="3" fillId="0" borderId="0" xfId="0" applyFont="1" applyAlignment="1">
      <alignment horizontal="left" vertical="top" wrapText="1"/>
    </xf>
    <xf numFmtId="0" fontId="3" fillId="0" borderId="0" xfId="0" applyFont="1" applyAlignment="1">
      <alignment horizontal="left" wrapText="1"/>
    </xf>
    <xf numFmtId="0" fontId="3" fillId="0" borderId="0" xfId="0" applyFont="1" applyAlignment="1">
      <alignment horizontal="left" vertical="top" wrapText="1"/>
    </xf>
    <xf numFmtId="0" fontId="3" fillId="0" borderId="0" xfId="0" applyFont="1" applyBorder="1" applyAlignment="1">
      <alignment horizontal="left" vertical="top" wrapText="1"/>
    </xf>
    <xf numFmtId="0" fontId="3" fillId="0" borderId="14" xfId="0" applyFont="1" applyBorder="1" applyAlignment="1">
      <alignment horizontal="center"/>
    </xf>
    <xf numFmtId="0" fontId="3" fillId="0" borderId="20" xfId="0" applyFont="1" applyBorder="1" applyAlignment="1">
      <alignment horizontal="center"/>
    </xf>
    <xf numFmtId="0" fontId="3" fillId="0" borderId="0" xfId="0" applyNumberFormat="1" applyFont="1" applyAlignment="1">
      <alignment horizontal="left" wrapText="1"/>
    </xf>
    <xf numFmtId="0" fontId="3" fillId="0" borderId="26" xfId="0" applyFont="1" applyBorder="1" applyAlignment="1">
      <alignment horizontal="center"/>
    </xf>
    <xf numFmtId="0" fontId="3" fillId="0" borderId="0" xfId="0" applyNumberFormat="1" applyFont="1" applyAlignment="1">
      <alignment horizontal="left" vertical="top" wrapText="1"/>
    </xf>
    <xf numFmtId="0" fontId="2" fillId="0" borderId="0" xfId="0" applyFont="1" applyAlignment="1">
      <alignment horizontal="center"/>
    </xf>
    <xf numFmtId="0" fontId="14" fillId="0" borderId="17" xfId="0" applyFont="1" applyBorder="1" applyAlignment="1">
      <alignment horizontal="left"/>
    </xf>
    <xf numFmtId="0" fontId="3" fillId="0" borderId="21"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5" xfId="0" applyFont="1" applyBorder="1" applyAlignment="1">
      <alignment horizontal="center"/>
    </xf>
    <xf numFmtId="0" fontId="3" fillId="0" borderId="15" xfId="0" applyFont="1" applyBorder="1" applyAlignment="1">
      <alignment horizontal="center"/>
    </xf>
    <xf numFmtId="3" fontId="3" fillId="0" borderId="15" xfId="0" applyNumberFormat="1" applyFont="1" applyBorder="1" applyAlignment="1">
      <alignment horizontal="center"/>
    </xf>
    <xf numFmtId="6" fontId="3" fillId="0" borderId="15" xfId="0" applyNumberFormat="1" applyFont="1" applyBorder="1" applyAlignment="1">
      <alignment horizontal="center"/>
    </xf>
    <xf numFmtId="0" fontId="3" fillId="0" borderId="16"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5" fillId="0" borderId="14" xfId="0" applyFont="1" applyBorder="1" applyAlignment="1">
      <alignment horizontal="center"/>
    </xf>
    <xf numFmtId="0" fontId="14" fillId="0" borderId="0" xfId="0" applyFont="1" applyAlignment="1">
      <alignment horizontal="center" vertical="top"/>
    </xf>
    <xf numFmtId="0" fontId="14" fillId="0" borderId="0" xfId="0" applyFont="1" applyBorder="1" applyAlignment="1">
      <alignment horizontal="center" vertical="center"/>
    </xf>
    <xf numFmtId="0" fontId="3" fillId="0" borderId="0" xfId="0" applyNumberFormat="1" applyFont="1" applyBorder="1" applyAlignment="1">
      <alignment horizontal="left" vertical="top" wrapText="1"/>
    </xf>
    <xf numFmtId="0" fontId="9" fillId="0" borderId="0" xfId="2" applyFont="1" applyAlignment="1">
      <alignment horizontal="left" vertical="center" wrapText="1"/>
    </xf>
    <xf numFmtId="0" fontId="6" fillId="6" borderId="1" xfId="0" applyFont="1" applyFill="1" applyBorder="1" applyAlignment="1">
      <alignment horizontal="left" vertical="center"/>
    </xf>
    <xf numFmtId="0" fontId="5" fillId="0" borderId="0" xfId="0" applyFont="1" applyAlignment="1">
      <alignment horizontal="left" vertical="center" wrapText="1"/>
    </xf>
    <xf numFmtId="0" fontId="9" fillId="0" borderId="0" xfId="2" applyFont="1" applyBorder="1" applyAlignment="1">
      <alignment horizontal="left" vertical="top" wrapText="1"/>
    </xf>
    <xf numFmtId="0" fontId="9" fillId="0" borderId="0" xfId="0" applyFont="1" applyAlignment="1">
      <alignment horizontal="left" vertical="top" wrapText="1"/>
    </xf>
    <xf numFmtId="0" fontId="5" fillId="10" borderId="12" xfId="0" applyFont="1" applyFill="1" applyBorder="1" applyAlignment="1">
      <alignment horizontal="center"/>
    </xf>
    <xf numFmtId="0" fontId="5" fillId="10" borderId="18" xfId="0" applyFont="1" applyFill="1" applyBorder="1" applyAlignment="1">
      <alignment horizontal="center"/>
    </xf>
    <xf numFmtId="164" fontId="5" fillId="7" borderId="3" xfId="0" applyNumberFormat="1" applyFont="1" applyFill="1" applyBorder="1" applyAlignment="1">
      <alignment horizontal="center"/>
    </xf>
    <xf numFmtId="0" fontId="5" fillId="7" borderId="3" xfId="0" applyFont="1" applyFill="1" applyBorder="1" applyAlignment="1">
      <alignment horizontal="center"/>
    </xf>
    <xf numFmtId="0" fontId="9" fillId="9" borderId="2" xfId="0" applyFont="1" applyFill="1" applyBorder="1" applyAlignment="1">
      <alignment horizontal="center"/>
    </xf>
    <xf numFmtId="0" fontId="9" fillId="9" borderId="3" xfId="0" applyFont="1" applyFill="1" applyBorder="1" applyAlignment="1">
      <alignment horizontal="center"/>
    </xf>
    <xf numFmtId="0" fontId="9" fillId="9" borderId="4" xfId="0" applyFont="1" applyFill="1" applyBorder="1" applyAlignment="1">
      <alignment horizontal="center"/>
    </xf>
    <xf numFmtId="0" fontId="5" fillId="9" borderId="5" xfId="0" applyFont="1" applyFill="1" applyBorder="1" applyAlignment="1">
      <alignment horizontal="center"/>
    </xf>
    <xf numFmtId="0" fontId="5" fillId="9" borderId="10" xfId="0" applyFont="1" applyFill="1" applyBorder="1" applyAlignment="1">
      <alignment horizontal="center"/>
    </xf>
    <xf numFmtId="0" fontId="5" fillId="9" borderId="6" xfId="0" applyFont="1" applyFill="1" applyBorder="1" applyAlignment="1">
      <alignment horizontal="center"/>
    </xf>
    <xf numFmtId="0" fontId="5" fillId="4" borderId="7" xfId="0" applyFont="1" applyFill="1" applyBorder="1" applyAlignment="1">
      <alignment horizontal="center"/>
    </xf>
    <xf numFmtId="0" fontId="5" fillId="4" borderId="14" xfId="0" applyFont="1" applyFill="1" applyBorder="1" applyAlignment="1">
      <alignment horizontal="center"/>
    </xf>
    <xf numFmtId="0" fontId="2" fillId="8" borderId="2" xfId="0" applyFont="1" applyFill="1" applyBorder="1" applyAlignment="1">
      <alignment horizontal="center"/>
    </xf>
    <xf numFmtId="0" fontId="2" fillId="8" borderId="3" xfId="0" applyFont="1" applyFill="1" applyBorder="1" applyAlignment="1">
      <alignment horizontal="center"/>
    </xf>
    <xf numFmtId="0" fontId="2" fillId="8" borderId="4" xfId="0" applyFont="1" applyFill="1" applyBorder="1" applyAlignment="1">
      <alignment horizontal="center"/>
    </xf>
    <xf numFmtId="0" fontId="9" fillId="9" borderId="1" xfId="0" applyFont="1" applyFill="1" applyBorder="1" applyAlignment="1">
      <alignment horizontal="center"/>
    </xf>
    <xf numFmtId="0" fontId="5" fillId="9" borderId="1" xfId="0" applyFont="1" applyFill="1" applyBorder="1" applyAlignment="1">
      <alignment horizontal="center"/>
    </xf>
    <xf numFmtId="0" fontId="5" fillId="0" borderId="9" xfId="0" applyFont="1" applyBorder="1" applyAlignment="1">
      <alignment horizontal="center"/>
    </xf>
    <xf numFmtId="0" fontId="5" fillId="0" borderId="11"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0" fontId="3" fillId="0" borderId="0" xfId="0" applyFont="1" applyBorder="1" applyAlignment="1">
      <alignment horizontal="center"/>
    </xf>
    <xf numFmtId="0" fontId="9" fillId="9" borderId="5" xfId="0" applyFont="1" applyFill="1" applyBorder="1" applyAlignment="1">
      <alignment horizontal="center" vertical="center" textRotation="90"/>
    </xf>
    <xf numFmtId="0" fontId="9" fillId="9" borderId="10" xfId="0" applyFont="1" applyFill="1" applyBorder="1" applyAlignment="1">
      <alignment horizontal="center" vertical="center" textRotation="90"/>
    </xf>
    <xf numFmtId="0" fontId="9" fillId="9" borderId="6" xfId="0" applyFont="1" applyFill="1" applyBorder="1" applyAlignment="1">
      <alignment horizontal="center" vertical="center" textRotation="90"/>
    </xf>
    <xf numFmtId="0" fontId="5" fillId="0" borderId="18" xfId="0" applyFont="1" applyBorder="1" applyAlignment="1">
      <alignment horizontal="center"/>
    </xf>
    <xf numFmtId="0" fontId="4" fillId="10" borderId="1" xfId="0" applyFont="1" applyFill="1" applyBorder="1" applyProtection="1">
      <protection locked="0"/>
    </xf>
    <xf numFmtId="0" fontId="4" fillId="10" borderId="1" xfId="2" applyFont="1" applyFill="1" applyBorder="1" applyProtection="1">
      <protection locked="0"/>
    </xf>
    <xf numFmtId="164" fontId="4" fillId="10" borderId="1" xfId="0" applyNumberFormat="1" applyFont="1" applyFill="1" applyBorder="1" applyProtection="1">
      <protection locked="0"/>
    </xf>
    <xf numFmtId="3" fontId="4" fillId="10" borderId="1" xfId="0" applyNumberFormat="1" applyFont="1" applyFill="1" applyBorder="1" applyProtection="1">
      <protection locked="0"/>
    </xf>
    <xf numFmtId="3" fontId="4" fillId="10" borderId="1" xfId="2" applyNumberFormat="1" applyFont="1" applyFill="1" applyBorder="1" applyProtection="1">
      <protection locked="0"/>
    </xf>
    <xf numFmtId="168" fontId="4" fillId="3" borderId="1" xfId="2" applyNumberFormat="1" applyFont="1" applyFill="1" applyBorder="1" applyAlignment="1" applyProtection="1">
      <alignment horizontal="right"/>
      <protection locked="0"/>
    </xf>
  </cellXfs>
  <cellStyles count="6">
    <cellStyle name="Comma 3" xfId="1"/>
    <cellStyle name="Normal" xfId="0" builtinId="0"/>
    <cellStyle name="Normal 2" xfId="2"/>
    <cellStyle name="Normal 3" xfId="3"/>
    <cellStyle name="Percent" xfId="5" builtinId="5"/>
    <cellStyle name="Percent 3" xfId="4"/>
  </cellStyles>
  <dxfs count="11">
    <dxf>
      <font>
        <b val="0"/>
        <i val="0"/>
        <strike val="0"/>
        <condense val="0"/>
        <extend val="0"/>
        <outline val="0"/>
        <shadow val="0"/>
        <u val="none"/>
        <vertAlign val="baseline"/>
        <sz val="11"/>
        <color auto="1"/>
        <name val="Times New Roman"/>
        <scheme val="none"/>
      </font>
      <numFmt numFmtId="166" formatCode="&quot;$&quot;#,##0"/>
      <fill>
        <patternFill patternType="none">
          <fgColor indexed="64"/>
          <bgColor indexed="65"/>
        </patternFill>
      </fill>
      <alignment horizontal="center" vertical="bottom" textRotation="0" wrapText="0" indent="0" relativeIndent="0" justifyLastLine="0" shrinkToFit="0" mergeCell="0" readingOrder="0"/>
      <protection locked="1" hidden="0"/>
    </dxf>
    <dxf>
      <font>
        <b val="0"/>
        <i val="0"/>
        <strike val="0"/>
        <condense val="0"/>
        <extend val="0"/>
        <outline val="0"/>
        <shadow val="0"/>
        <u val="none"/>
        <vertAlign val="baseline"/>
        <sz val="11"/>
        <color auto="1"/>
        <name val="Times New Roman"/>
        <scheme val="none"/>
      </font>
      <numFmt numFmtId="166" formatCode="&quot;$&quot;#,##0"/>
      <fill>
        <patternFill patternType="none">
          <fgColor indexed="64"/>
          <bgColor indexed="65"/>
        </patternFill>
      </fill>
      <alignment horizontal="center" vertical="bottom" textRotation="0" wrapText="0" indent="0" relativeIndent="0" justifyLastLine="0" shrinkToFit="0" mergeCell="0" readingOrder="0"/>
      <protection locked="1" hidden="0"/>
    </dxf>
    <dxf>
      <font>
        <b val="0"/>
        <i val="0"/>
        <strike val="0"/>
        <condense val="0"/>
        <extend val="0"/>
        <outline val="0"/>
        <shadow val="0"/>
        <u val="none"/>
        <vertAlign val="baseline"/>
        <sz val="11"/>
        <color auto="1"/>
        <name val="Times New Roman"/>
        <scheme val="none"/>
      </font>
      <numFmt numFmtId="166" formatCode="&quot;$&quot;#,##0"/>
      <fill>
        <patternFill patternType="none">
          <fgColor indexed="64"/>
          <bgColor indexed="65"/>
        </patternFill>
      </fill>
      <alignment horizontal="center" vertical="bottom" textRotation="0" wrapText="0" indent="0" relativeIndent="0" justifyLastLine="0" shrinkToFit="0" mergeCell="0" readingOrder="0"/>
      <protection locked="1" hidden="0"/>
    </dxf>
    <dxf>
      <font>
        <b val="0"/>
        <i val="0"/>
        <strike val="0"/>
        <condense val="0"/>
        <extend val="0"/>
        <outline val="0"/>
        <shadow val="0"/>
        <u val="none"/>
        <vertAlign val="baseline"/>
        <sz val="11"/>
        <color auto="1"/>
        <name val="Times New Roman"/>
        <scheme val="none"/>
      </font>
      <numFmt numFmtId="3" formatCode="#,##0"/>
      <fill>
        <patternFill patternType="none">
          <fgColor indexed="64"/>
          <bgColor indexed="65"/>
        </patternFill>
      </fill>
      <alignment horizontal="center" vertical="bottom" textRotation="0" wrapText="0" indent="0" relativeIndent="0" justifyLastLine="0" shrinkToFit="0" mergeCell="0" readingOrder="0"/>
      <protection locked="0" hidden="0"/>
    </dxf>
    <dxf>
      <fill>
        <patternFill patternType="none">
          <fgColor indexed="64"/>
          <bgColor auto="1"/>
        </patternFill>
      </fill>
    </dxf>
    <dxf>
      <font>
        <b val="0"/>
        <i val="0"/>
        <strike val="0"/>
        <condense val="0"/>
        <extend val="0"/>
        <outline val="0"/>
        <shadow val="0"/>
        <u val="none"/>
        <vertAlign val="baseline"/>
        <sz val="11"/>
        <color theme="0"/>
        <name val="Times New Roman"/>
        <scheme val="none"/>
      </font>
      <fill>
        <patternFill patternType="none">
          <fgColor indexed="64"/>
          <bgColor indexed="65"/>
        </patternFill>
      </fill>
      <alignment horizontal="center" vertical="bottom" textRotation="0" wrapText="0" indent="0" relativeIndent="0" justifyLastLine="0" shrinkToFit="0" mergeCell="0" readingOrder="0"/>
      <protection locked="1" hidden="0"/>
    </dxf>
    <dxf>
      <font>
        <b val="0"/>
        <i val="0"/>
        <strike val="0"/>
        <condense val="0"/>
        <extend val="0"/>
        <outline val="0"/>
        <shadow val="0"/>
        <u val="none"/>
        <vertAlign val="baseline"/>
        <sz val="11"/>
        <color auto="1"/>
        <name val="Times New Roman"/>
        <scheme val="none"/>
      </font>
      <numFmt numFmtId="9" formatCode="&quot;$&quot;#,##0_);\(&quot;$&quot;#,##0\)"/>
      <fill>
        <patternFill patternType="solid">
          <fgColor indexed="64"/>
          <bgColor theme="0" tint="-4.9989318521683403E-2"/>
        </patternFill>
      </fill>
      <alignment horizontal="center" vertical="bottom" textRotation="0" wrapText="0" indent="0" relativeIndent="0" justifyLastLine="0" shrinkToFit="0" mergeCell="0" readingOrder="0"/>
      <protection locked="1" hidden="0"/>
    </dxf>
    <dxf>
      <font>
        <b val="0"/>
        <i val="0"/>
        <strike val="0"/>
        <condense val="0"/>
        <extend val="0"/>
        <outline val="0"/>
        <shadow val="0"/>
        <u val="none"/>
        <vertAlign val="baseline"/>
        <sz val="11"/>
        <color auto="1"/>
        <name val="Times New Roman"/>
        <scheme val="none"/>
      </font>
      <numFmt numFmtId="9" formatCode="&quot;$&quot;#,##0_);\(&quot;$&quot;#,##0\)"/>
      <fill>
        <patternFill patternType="solid">
          <fgColor indexed="64"/>
          <bgColor theme="0" tint="-4.9989318521683403E-2"/>
        </patternFill>
      </fill>
      <alignment horizontal="center" vertical="bottom" textRotation="0" wrapText="0" indent="0" relativeIndent="0" justifyLastLine="0" shrinkToFit="0" mergeCell="0" readingOrder="0"/>
      <protection locked="1" hidden="0"/>
    </dxf>
    <dxf>
      <font>
        <b val="0"/>
        <i val="0"/>
        <strike val="0"/>
        <condense val="0"/>
        <extend val="0"/>
        <outline val="0"/>
        <shadow val="0"/>
        <u val="none"/>
        <vertAlign val="baseline"/>
        <sz val="11"/>
        <color auto="1"/>
        <name val="Times New Roman"/>
        <scheme val="none"/>
      </font>
      <numFmt numFmtId="9" formatCode="&quot;$&quot;#,##0_);\(&quot;$&quot;#,##0\)"/>
      <fill>
        <patternFill patternType="solid">
          <fgColor indexed="64"/>
          <bgColor theme="0" tint="-4.9989318521683403E-2"/>
        </patternFill>
      </fill>
      <alignment horizontal="center" vertical="bottom" textRotation="0" wrapText="0" indent="0" relativeIndent="0" justifyLastLine="0" shrinkToFit="0" mergeCell="0" readingOrder="0"/>
      <protection locked="1" hidden="0"/>
    </dxf>
    <dxf>
      <font>
        <b val="0"/>
        <i val="0"/>
        <strike val="0"/>
        <condense val="0"/>
        <extend val="0"/>
        <outline val="0"/>
        <shadow val="0"/>
        <u val="none"/>
        <vertAlign val="baseline"/>
        <sz val="11"/>
        <color auto="1"/>
        <name val="Times New Roman"/>
        <scheme val="none"/>
      </font>
      <numFmt numFmtId="0" formatCode="General"/>
      <fill>
        <patternFill patternType="solid">
          <fgColor indexed="64"/>
          <bgColor theme="0" tint="-4.9989318521683403E-2"/>
        </patternFill>
      </fill>
      <alignment horizontal="center" vertical="bottom" textRotation="0" wrapText="0" indent="0" relativeIndent="0" justifyLastLine="0" shrinkToFit="0" mergeCell="0" readingOrder="0"/>
      <protection locked="1" hidden="0"/>
    </dxf>
    <dxf>
      <font>
        <b/>
        <i val="0"/>
        <strike val="0"/>
        <condense val="0"/>
        <extend val="0"/>
        <outline val="0"/>
        <shadow val="0"/>
        <u val="none"/>
        <vertAlign val="baseline"/>
        <sz val="11"/>
        <color theme="0"/>
        <name val="Times New Roman"/>
        <scheme val="none"/>
      </font>
      <fill>
        <patternFill patternType="solid">
          <fgColor indexed="64"/>
          <bgColor theme="0" tint="-0.14999847407452621"/>
        </patternFill>
      </fill>
      <alignment horizontal="center" vertical="bottom" textRotation="0" wrapText="0" indent="0" relativeIndent="0" justifyLastLine="0" shrinkToFit="0" mergeCell="0" readingOrder="0"/>
      <protection locked="1" hidden="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7" Type="http://schemas.openxmlformats.org/officeDocument/2006/relationships/image" Target="../media/image9.emf"/><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8.emf"/><Relationship Id="rId5" Type="http://schemas.openxmlformats.org/officeDocument/2006/relationships/image" Target="../media/image7.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3</xdr:col>
      <xdr:colOff>85725</xdr:colOff>
      <xdr:row>54</xdr:row>
      <xdr:rowOff>19050</xdr:rowOff>
    </xdr:from>
    <xdr:to>
      <xdr:col>22</xdr:col>
      <xdr:colOff>123825</xdr:colOff>
      <xdr:row>67</xdr:row>
      <xdr:rowOff>161925</xdr:rowOff>
    </xdr:to>
    <xdr:pic>
      <xdr:nvPicPr>
        <xdr:cNvPr id="2" name="Picture 3" descr="Low Pressure Irrigation.jpg"/>
        <xdr:cNvPicPr>
          <a:picLocks noChangeAspect="1"/>
        </xdr:cNvPicPr>
      </xdr:nvPicPr>
      <xdr:blipFill>
        <a:blip xmlns:r="http://schemas.openxmlformats.org/officeDocument/2006/relationships" r:embed="rId1" cstate="print"/>
        <a:srcRect/>
        <a:stretch>
          <a:fillRect/>
        </a:stretch>
      </xdr:blipFill>
      <xdr:spPr bwMode="auto">
        <a:xfrm>
          <a:off x="1200150" y="2019300"/>
          <a:ext cx="3657600" cy="2743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390525</xdr:colOff>
      <xdr:row>0</xdr:row>
      <xdr:rowOff>19050</xdr:rowOff>
    </xdr:from>
    <xdr:to>
      <xdr:col>9</xdr:col>
      <xdr:colOff>57150</xdr:colOff>
      <xdr:row>0</xdr:row>
      <xdr:rowOff>361950</xdr:rowOff>
    </xdr:to>
    <xdr:pic>
      <xdr:nvPicPr>
        <xdr:cNvPr id="2" name="Picture 1" descr="Energy Efficiency Center Logo.bmp"/>
        <xdr:cNvPicPr>
          <a:picLocks noChangeAspect="1"/>
        </xdr:cNvPicPr>
      </xdr:nvPicPr>
      <xdr:blipFill>
        <a:blip xmlns:r="http://schemas.openxmlformats.org/officeDocument/2006/relationships" r:embed="rId1" cstate="print"/>
        <a:srcRect/>
        <a:stretch>
          <a:fillRect/>
        </a:stretch>
      </xdr:blipFill>
      <xdr:spPr bwMode="auto">
        <a:xfrm>
          <a:off x="4724400" y="19050"/>
          <a:ext cx="1809750" cy="342900"/>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e1" displayName="Table1" ref="A1:E29" totalsRowShown="0" headerRowDxfId="10" headerRowCellStyle="Normal 3">
  <tableColumns count="5">
    <tableColumn id="1" name="HP" dataDxfId="9" dataCellStyle="Normal 3"/>
    <tableColumn id="2" name="Equipment">
      <calculatedColumnFormula>ROUND(A2*35.316+1448.4,-1)</calculatedColumnFormula>
    </tableColumn>
    <tableColumn id="3" name="Manual bypass" dataDxfId="8" dataCellStyle="Normal 3"/>
    <tableColumn id="4" name="Labor" dataDxfId="7" dataCellStyle="Normal 3"/>
    <tableColumn id="5" name="Total" dataDxfId="6" dataCellStyle="Normal 3">
      <calculatedColumnFormula>SUM(B2:D2)</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2" name="Table2" displayName="Table2" ref="G1:J2" totalsRowShown="0" headerRowDxfId="5" dataDxfId="4" headerRowCellStyle="Normal 3">
  <tableColumns count="4">
    <tableColumn id="1" name="Horsepower" dataDxfId="3" dataCellStyle="Normal 3">
      <calculatedColumnFormula>Calculation1!E6</calculatedColumnFormula>
    </tableColumn>
    <tableColumn id="2" name="VSD" dataDxfId="2" dataCellStyle="Normal 3">
      <calculatedColumnFormula>(OFFSET('VSD Cost Estimate'!A2,MATCH(G2,'VSD Cost Estimate'!$A$2:'VSD Cost Estimate'!$A$29,TRUE),1,1,1)-VLOOKUP(G2,'VSD Cost Estimate'!$A$2:'VSD Cost Estimate'!$D$29,2,TRUE))/(OFFSET('VSD Cost Estimate'!A2,MATCH(G2,'VSD Cost Estimate'!$A$2:'VSD Cost Estimate'!$A$29,TRUE),0,1,1)-VLOOKUP(G2,'VSD Cost Estimate'!$A$2:'VSD Cost Estimate'!$D$29,1,TRUE))*(G2-VLOOKUP(G2,'VSD Cost Estimate'!$A$2:'VSD Cost Estimate'!$D$29,1,TRUE))+VLOOKUP(G2,'VSD Cost Estimate'!$A$2:'VSD Cost Estimate'!$D$29,2,TRUE)</calculatedColumnFormula>
    </tableColumn>
    <tableColumn id="3" name="Bypass" dataDxfId="1" dataCellStyle="Normal 3">
      <calculatedColumnFormula>(OFFSET('VSD Cost Estimate'!A2,MATCH(G2,'VSD Cost Estimate'!$A$2:'VSD Cost Estimate'!$A$29,TRUE),2,1,1)-VLOOKUP(G2,'VSD Cost Estimate'!$A$2:'VSD Cost Estimate'!$D$29,3,TRUE))/(OFFSET('VSD Cost Estimate'!A2,MATCH(G2,'VSD Cost Estimate'!$A$2:'VSD Cost Estimate'!$A$29,TRUE),0,1,1)-VLOOKUP(G2,'VSD Cost Estimate'!$A$2:'VSD Cost Estimate'!$D$29,1,TRUE))*(G2-VLOOKUP(G2,'VSD Cost Estimate'!$A$2:'VSD Cost Estimate'!$D$29,1,TRUE))+VLOOKUP(G2,'VSD Cost Estimate'!$A$2:'VSD Cost Estimate'!$D$29,3,TRUE)</calculatedColumnFormula>
    </tableColumn>
    <tableColumn id="4" name="Labor" dataDxfId="0" dataCellStyle="Normal 3">
      <calculatedColumnFormula>(OFFSET('VSD Cost Estimate'!A2,MATCH(G2,'VSD Cost Estimate'!$A$2:'VSD Cost Estimate'!$A$29,TRUE),3,1,1)-VLOOKUP(G2,'VSD Cost Estimate'!$A$2:'VSD Cost Estimate'!$D$29,4,TRUE))/(OFFSET('VSD Cost Estimate'!A2,MATCH(G2,'VSD Cost Estimate'!$A$2:'VSD Cost Estimate'!$A$29,TRUE),0,1,1)-VLOOKUP(G2,'VSD Cost Estimate'!$A$2:'VSD Cost Estimate'!$D$29,1,TRUE))*(G2-VLOOKUP(G2,'VSD Cost Estimate'!$A$2:'VSD Cost Estimate'!$D$29,1,TRUE))+VLOOKUP(G2,'VSD Cost Estimate'!$A$2:'VSD Cost Estimate'!$D$29,4,TRUE)</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5.bin"/><Relationship Id="rId3" Type="http://schemas.openxmlformats.org/officeDocument/2006/relationships/vmlDrawing" Target="../drawings/vmlDrawing1.vml"/><Relationship Id="rId7" Type="http://schemas.openxmlformats.org/officeDocument/2006/relationships/oleObject" Target="../embeddings/oleObject4.bin"/><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3.bin"/><Relationship Id="rId5" Type="http://schemas.openxmlformats.org/officeDocument/2006/relationships/oleObject" Target="../embeddings/oleObject2.bin"/><Relationship Id="rId10" Type="http://schemas.openxmlformats.org/officeDocument/2006/relationships/oleObject" Target="../embeddings/oleObject7.bin"/><Relationship Id="rId4" Type="http://schemas.openxmlformats.org/officeDocument/2006/relationships/oleObject" Target="../embeddings/oleObject1.bin"/><Relationship Id="rId9" Type="http://schemas.openxmlformats.org/officeDocument/2006/relationships/oleObject" Target="../embeddings/oleObject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Y132"/>
  <sheetViews>
    <sheetView showGridLines="0" tabSelected="1" zoomScaleNormal="100" zoomScaleSheetLayoutView="100" workbookViewId="0">
      <selection activeCell="Z1" sqref="Z1"/>
    </sheetView>
  </sheetViews>
  <sheetFormatPr defaultRowHeight="15.75" customHeight="1"/>
  <cols>
    <col min="1" max="1" width="7.140625" style="2" customWidth="1"/>
    <col min="2" max="2" width="6.7109375" style="2" customWidth="1"/>
    <col min="3" max="24" width="2.85546875" style="2" customWidth="1"/>
    <col min="25" max="25" width="13.85546875" style="2" customWidth="1"/>
    <col min="26" max="16384" width="9.140625" style="2"/>
  </cols>
  <sheetData>
    <row r="1" spans="1:25" ht="15.75" customHeight="1">
      <c r="A1" s="250" t="s">
        <v>365</v>
      </c>
      <c r="B1" s="250"/>
      <c r="C1" s="250"/>
      <c r="D1" s="250"/>
      <c r="E1" s="250"/>
      <c r="F1" s="250"/>
      <c r="G1" s="250"/>
      <c r="H1" s="250"/>
      <c r="I1" s="250"/>
      <c r="J1" s="250"/>
      <c r="K1" s="250"/>
      <c r="L1" s="250"/>
      <c r="M1" s="250"/>
      <c r="N1" s="250"/>
      <c r="O1" s="250"/>
      <c r="P1" s="250"/>
      <c r="Q1" s="250"/>
      <c r="R1" s="250"/>
      <c r="S1" s="250"/>
      <c r="T1" s="250"/>
      <c r="U1" s="250"/>
      <c r="V1" s="250"/>
      <c r="W1" s="250"/>
      <c r="X1" s="250"/>
      <c r="Y1" s="250"/>
    </row>
    <row r="2" spans="1:25" ht="15.75" customHeight="1">
      <c r="A2" s="250" t="s">
        <v>295</v>
      </c>
      <c r="B2" s="250"/>
      <c r="C2" s="250"/>
      <c r="D2" s="250"/>
      <c r="E2" s="250"/>
      <c r="F2" s="250"/>
      <c r="G2" s="250"/>
      <c r="H2" s="250"/>
      <c r="I2" s="250"/>
      <c r="J2" s="250"/>
      <c r="K2" s="250"/>
      <c r="L2" s="250"/>
      <c r="M2" s="250"/>
      <c r="N2" s="250"/>
      <c r="O2" s="250"/>
      <c r="P2" s="250"/>
      <c r="Q2" s="250"/>
      <c r="R2" s="250"/>
      <c r="S2" s="250"/>
      <c r="T2" s="250"/>
      <c r="U2" s="250"/>
      <c r="V2" s="250"/>
      <c r="W2" s="250"/>
      <c r="X2" s="250"/>
      <c r="Y2" s="250"/>
    </row>
    <row r="3" spans="1:25" ht="15.75" customHeight="1">
      <c r="B3" s="35"/>
      <c r="C3" s="35"/>
      <c r="D3" s="35"/>
      <c r="E3" s="35"/>
      <c r="F3" s="35"/>
      <c r="G3" s="35"/>
      <c r="H3" s="35"/>
      <c r="I3" s="35"/>
      <c r="J3" s="35"/>
      <c r="K3" s="35"/>
      <c r="L3" s="35"/>
      <c r="M3" s="35"/>
      <c r="N3" s="35"/>
      <c r="O3" s="35"/>
      <c r="P3" s="35"/>
      <c r="Q3" s="35"/>
      <c r="R3" s="35"/>
      <c r="S3" s="35"/>
      <c r="T3" s="35"/>
      <c r="U3" s="35"/>
      <c r="V3" s="35"/>
      <c r="W3" s="35"/>
      <c r="X3" s="35"/>
      <c r="Y3" s="35"/>
    </row>
    <row r="4" spans="1:25" ht="15.75" customHeight="1">
      <c r="B4" s="35"/>
      <c r="C4" s="35"/>
      <c r="D4" s="35"/>
      <c r="E4" s="35"/>
      <c r="F4" s="35"/>
      <c r="G4" s="35"/>
      <c r="H4" s="35"/>
      <c r="I4" s="35"/>
      <c r="J4" s="35"/>
      <c r="K4" s="35"/>
      <c r="L4" s="35"/>
      <c r="M4" s="35"/>
      <c r="N4" s="35"/>
      <c r="O4" s="35"/>
      <c r="P4" s="35"/>
      <c r="Q4" s="35"/>
      <c r="R4" s="35"/>
      <c r="S4" s="35"/>
      <c r="T4" s="35"/>
      <c r="U4" s="35"/>
      <c r="V4" s="35"/>
      <c r="W4" s="35"/>
      <c r="X4" s="35"/>
      <c r="Y4" s="35"/>
    </row>
    <row r="5" spans="1:25" ht="15.75" customHeight="1">
      <c r="A5" s="1" t="s">
        <v>29</v>
      </c>
      <c r="C5" s="35"/>
      <c r="D5" s="35"/>
      <c r="E5" s="35"/>
      <c r="F5" s="35"/>
      <c r="G5" s="35"/>
      <c r="H5" s="35"/>
      <c r="I5" s="35"/>
      <c r="J5" s="35"/>
      <c r="K5" s="35"/>
      <c r="L5" s="35"/>
      <c r="M5" s="35"/>
      <c r="N5" s="35"/>
      <c r="O5" s="35"/>
      <c r="P5" s="35"/>
      <c r="Q5" s="35"/>
      <c r="R5" s="35"/>
      <c r="S5" s="35"/>
      <c r="T5" s="35"/>
      <c r="U5" s="35"/>
      <c r="V5" s="35"/>
      <c r="W5" s="35"/>
      <c r="X5" s="35"/>
      <c r="Y5" s="35"/>
    </row>
    <row r="6" spans="1:25" ht="15.75" customHeight="1">
      <c r="B6" s="1"/>
      <c r="C6" s="35"/>
      <c r="D6" s="35"/>
      <c r="E6" s="35"/>
      <c r="F6" s="35"/>
      <c r="G6" s="35"/>
      <c r="H6" s="35"/>
      <c r="I6" s="35"/>
      <c r="J6" s="35"/>
      <c r="K6" s="35"/>
      <c r="L6" s="35"/>
      <c r="M6" s="35"/>
      <c r="N6" s="35"/>
      <c r="O6" s="35"/>
      <c r="P6" s="35"/>
      <c r="Q6" s="35"/>
      <c r="R6" s="35"/>
      <c r="S6" s="35"/>
      <c r="T6" s="35"/>
      <c r="U6" s="35"/>
      <c r="V6" s="35"/>
      <c r="W6" s="35"/>
      <c r="X6" s="35"/>
      <c r="Y6" s="35"/>
    </row>
    <row r="7" spans="1:25" ht="15.75" customHeight="1">
      <c r="A7" s="243" t="str">
        <f>"Install a variable speed drive (VSD) on the 25 hp submersible pump.  "&amp;"This will allow the system to operate at a lower pressure, delivering the same water with less energy than the current method and reduce total pump operating cost by "&amp;TEXT(Calculation1!N7,"#0.0%")&amp;"."</f>
        <v>Install a variable speed drive (VSD) on the 25 hp submersible pump.  This will allow the system to operate at a lower pressure, delivering the same water with less energy than the current method and reduce total pump operating cost by 58.6%.</v>
      </c>
      <c r="B7" s="243"/>
      <c r="C7" s="243"/>
      <c r="D7" s="243"/>
      <c r="E7" s="243"/>
      <c r="F7" s="243"/>
      <c r="G7" s="243"/>
      <c r="H7" s="243"/>
      <c r="I7" s="243"/>
      <c r="J7" s="243"/>
      <c r="K7" s="243"/>
      <c r="L7" s="243"/>
      <c r="M7" s="243"/>
      <c r="N7" s="243"/>
      <c r="O7" s="243"/>
      <c r="P7" s="243"/>
      <c r="Q7" s="243"/>
      <c r="R7" s="243"/>
      <c r="S7" s="243"/>
      <c r="T7" s="243"/>
      <c r="U7" s="243"/>
      <c r="V7" s="243"/>
      <c r="W7" s="243"/>
      <c r="X7" s="243"/>
      <c r="Y7" s="243"/>
    </row>
    <row r="8" spans="1:25" ht="15.75" customHeight="1">
      <c r="A8" s="243"/>
      <c r="B8" s="243"/>
      <c r="C8" s="243"/>
      <c r="D8" s="243"/>
      <c r="E8" s="243"/>
      <c r="F8" s="243"/>
      <c r="G8" s="243"/>
      <c r="H8" s="243"/>
      <c r="I8" s="243"/>
      <c r="J8" s="243"/>
      <c r="K8" s="243"/>
      <c r="L8" s="243"/>
      <c r="M8" s="243"/>
      <c r="N8" s="243"/>
      <c r="O8" s="243"/>
      <c r="P8" s="243"/>
      <c r="Q8" s="243"/>
      <c r="R8" s="243"/>
      <c r="S8" s="243"/>
      <c r="T8" s="243"/>
      <c r="U8" s="243"/>
      <c r="V8" s="243"/>
      <c r="W8" s="243"/>
      <c r="X8" s="243"/>
      <c r="Y8" s="243"/>
    </row>
    <row r="9" spans="1:25" ht="15.75" customHeight="1">
      <c r="A9" s="243"/>
      <c r="B9" s="243"/>
      <c r="C9" s="243"/>
      <c r="D9" s="243"/>
      <c r="E9" s="243"/>
      <c r="F9" s="243"/>
      <c r="G9" s="243"/>
      <c r="H9" s="243"/>
      <c r="I9" s="243"/>
      <c r="J9" s="243"/>
      <c r="K9" s="243"/>
      <c r="L9" s="243"/>
      <c r="M9" s="243"/>
      <c r="N9" s="243"/>
      <c r="O9" s="243"/>
      <c r="P9" s="243"/>
      <c r="Q9" s="243"/>
      <c r="R9" s="243"/>
      <c r="S9" s="243"/>
      <c r="T9" s="243"/>
      <c r="U9" s="243"/>
      <c r="V9" s="243"/>
      <c r="W9" s="243"/>
      <c r="X9" s="243"/>
      <c r="Y9" s="243"/>
    </row>
    <row r="10" spans="1:25" ht="15.75" customHeight="1" thickBot="1">
      <c r="B10" s="39"/>
      <c r="C10" s="39"/>
      <c r="D10" s="39"/>
      <c r="E10" s="39"/>
      <c r="F10" s="39"/>
      <c r="G10" s="39"/>
      <c r="H10" s="39"/>
      <c r="I10" s="39"/>
      <c r="J10" s="39"/>
      <c r="K10" s="39"/>
      <c r="L10" s="39"/>
      <c r="M10" s="39"/>
      <c r="N10" s="39"/>
      <c r="O10" s="39"/>
      <c r="P10" s="39"/>
      <c r="Q10" s="39"/>
      <c r="R10" s="39"/>
      <c r="S10" s="39"/>
      <c r="T10" s="39"/>
      <c r="U10" s="39"/>
      <c r="V10" s="39"/>
      <c r="W10" s="39"/>
      <c r="X10" s="39"/>
      <c r="Y10" s="39"/>
    </row>
    <row r="11" spans="1:25" ht="15.75" customHeight="1" thickTop="1">
      <c r="C11" s="260" t="s">
        <v>22</v>
      </c>
      <c r="D11" s="261"/>
      <c r="E11" s="261"/>
      <c r="F11" s="261"/>
      <c r="G11" s="261"/>
      <c r="H11" s="261"/>
      <c r="I11" s="261"/>
      <c r="J11" s="261"/>
      <c r="K11" s="261"/>
      <c r="L11" s="261"/>
      <c r="M11" s="261"/>
      <c r="N11" s="261"/>
      <c r="O11" s="261"/>
      <c r="P11" s="261"/>
      <c r="Q11" s="261"/>
      <c r="R11" s="261"/>
      <c r="S11" s="261"/>
      <c r="T11" s="261"/>
      <c r="U11" s="261"/>
      <c r="V11" s="261"/>
      <c r="W11" s="261"/>
      <c r="X11" s="262"/>
    </row>
    <row r="12" spans="1:25" ht="15.75" customHeight="1">
      <c r="C12" s="248" t="s">
        <v>23</v>
      </c>
      <c r="D12" s="245"/>
      <c r="E12" s="245"/>
      <c r="F12" s="245"/>
      <c r="G12" s="245" t="s">
        <v>23</v>
      </c>
      <c r="H12" s="245"/>
      <c r="I12" s="245"/>
      <c r="J12" s="245"/>
      <c r="K12" s="245" t="s">
        <v>24</v>
      </c>
      <c r="L12" s="245"/>
      <c r="M12" s="245"/>
      <c r="N12" s="245"/>
      <c r="O12" s="245" t="s">
        <v>25</v>
      </c>
      <c r="P12" s="245"/>
      <c r="Q12" s="245"/>
      <c r="R12" s="245"/>
      <c r="S12" s="245"/>
      <c r="T12" s="245"/>
      <c r="U12" s="245" t="s">
        <v>7</v>
      </c>
      <c r="V12" s="245"/>
      <c r="W12" s="245"/>
      <c r="X12" s="246"/>
    </row>
    <row r="13" spans="1:25" ht="15.75" customHeight="1">
      <c r="C13" s="252" t="s">
        <v>32</v>
      </c>
      <c r="D13" s="253"/>
      <c r="E13" s="253"/>
      <c r="F13" s="253"/>
      <c r="G13" s="253" t="s">
        <v>33</v>
      </c>
      <c r="H13" s="253"/>
      <c r="I13" s="253"/>
      <c r="J13" s="253"/>
      <c r="K13" s="253" t="s">
        <v>26</v>
      </c>
      <c r="L13" s="253"/>
      <c r="M13" s="253"/>
      <c r="N13" s="253"/>
      <c r="O13" s="253" t="s">
        <v>24</v>
      </c>
      <c r="P13" s="253"/>
      <c r="Q13" s="253"/>
      <c r="R13" s="253"/>
      <c r="S13" s="253"/>
      <c r="T13" s="253"/>
      <c r="U13" s="253" t="s">
        <v>27</v>
      </c>
      <c r="V13" s="253"/>
      <c r="W13" s="253"/>
      <c r="X13" s="254"/>
    </row>
    <row r="14" spans="1:25" ht="15.75" customHeight="1" thickBot="1">
      <c r="C14" s="255">
        <f>Calculation1!N8</f>
        <v>23.7</v>
      </c>
      <c r="D14" s="256"/>
      <c r="E14" s="256"/>
      <c r="F14" s="256"/>
      <c r="G14" s="257">
        <f>Calculation1!N10</f>
        <v>6940</v>
      </c>
      <c r="H14" s="257"/>
      <c r="I14" s="257"/>
      <c r="J14" s="257"/>
      <c r="K14" s="258">
        <f>Calculation1!N11</f>
        <v>484</v>
      </c>
      <c r="L14" s="258"/>
      <c r="M14" s="258"/>
      <c r="N14" s="258"/>
      <c r="O14" s="258">
        <f ca="1">Calculation1!N12</f>
        <v>5230</v>
      </c>
      <c r="P14" s="258"/>
      <c r="Q14" s="258"/>
      <c r="R14" s="258"/>
      <c r="S14" s="258"/>
      <c r="T14" s="258"/>
      <c r="U14" s="256">
        <f ca="1">Calculation1!N13</f>
        <v>10.8</v>
      </c>
      <c r="V14" s="256"/>
      <c r="W14" s="256"/>
      <c r="X14" s="259"/>
    </row>
    <row r="15" spans="1:25" ht="15.75" customHeight="1" thickTop="1">
      <c r="C15" s="251" t="s">
        <v>28</v>
      </c>
      <c r="D15" s="251"/>
      <c r="E15" s="251"/>
      <c r="F15" s="251"/>
      <c r="G15" s="251"/>
      <c r="H15" s="251"/>
      <c r="I15" s="251"/>
      <c r="J15" s="251"/>
      <c r="K15" s="251"/>
      <c r="L15" s="251"/>
      <c r="M15" s="251"/>
      <c r="N15" s="251"/>
      <c r="O15" s="251"/>
      <c r="P15" s="251"/>
      <c r="Q15" s="251"/>
      <c r="R15" s="251"/>
      <c r="S15" s="251"/>
      <c r="T15" s="251"/>
      <c r="U15" s="251"/>
      <c r="V15" s="251"/>
      <c r="W15" s="251"/>
      <c r="X15" s="251"/>
    </row>
    <row r="18" spans="1:25" ht="15.75" customHeight="1">
      <c r="A18" s="1" t="s">
        <v>30</v>
      </c>
    </row>
    <row r="20" spans="1:25" ht="15.75" customHeight="1">
      <c r="A20" s="243" t="s">
        <v>357</v>
      </c>
      <c r="B20" s="243"/>
      <c r="C20" s="243"/>
      <c r="D20" s="243"/>
      <c r="E20" s="243"/>
      <c r="F20" s="243"/>
      <c r="G20" s="243"/>
      <c r="H20" s="243"/>
      <c r="I20" s="243"/>
      <c r="J20" s="243"/>
      <c r="K20" s="243"/>
      <c r="L20" s="243"/>
      <c r="M20" s="243"/>
      <c r="N20" s="243"/>
      <c r="O20" s="243"/>
      <c r="P20" s="243"/>
      <c r="Q20" s="243"/>
      <c r="R20" s="243"/>
      <c r="S20" s="243"/>
      <c r="T20" s="243"/>
      <c r="U20" s="243"/>
      <c r="V20" s="243"/>
      <c r="W20" s="243"/>
      <c r="X20" s="243"/>
      <c r="Y20" s="243"/>
    </row>
    <row r="21" spans="1:25" ht="15.75" customHeight="1">
      <c r="A21" s="243"/>
      <c r="B21" s="243"/>
      <c r="C21" s="243"/>
      <c r="D21" s="243"/>
      <c r="E21" s="243"/>
      <c r="F21" s="243"/>
      <c r="G21" s="243"/>
      <c r="H21" s="243"/>
      <c r="I21" s="243"/>
      <c r="J21" s="243"/>
      <c r="K21" s="243"/>
      <c r="L21" s="243"/>
      <c r="M21" s="243"/>
      <c r="N21" s="243"/>
      <c r="O21" s="243"/>
      <c r="P21" s="243"/>
      <c r="Q21" s="243"/>
      <c r="R21" s="243"/>
      <c r="S21" s="243"/>
      <c r="T21" s="243"/>
      <c r="U21" s="243"/>
      <c r="V21" s="243"/>
      <c r="W21" s="243"/>
      <c r="X21" s="243"/>
      <c r="Y21" s="243"/>
    </row>
    <row r="22" spans="1:25" ht="15.75" customHeight="1">
      <c r="A22" s="243"/>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row>
    <row r="23" spans="1:25" ht="15.75" customHeight="1">
      <c r="A23" s="243"/>
      <c r="B23" s="243"/>
      <c r="C23" s="243"/>
      <c r="D23" s="243"/>
      <c r="E23" s="243"/>
      <c r="F23" s="243"/>
      <c r="G23" s="243"/>
      <c r="H23" s="243"/>
      <c r="I23" s="243"/>
      <c r="J23" s="243"/>
      <c r="K23" s="243"/>
      <c r="L23" s="243"/>
      <c r="M23" s="243"/>
      <c r="N23" s="243"/>
      <c r="O23" s="243"/>
      <c r="P23" s="243"/>
      <c r="Q23" s="243"/>
      <c r="R23" s="243"/>
      <c r="S23" s="243"/>
      <c r="T23" s="243"/>
      <c r="U23" s="243"/>
      <c r="V23" s="243"/>
      <c r="W23" s="243"/>
      <c r="X23" s="243"/>
      <c r="Y23" s="243"/>
    </row>
    <row r="24" spans="1:25" ht="15.75" customHeight="1">
      <c r="A24" s="243"/>
      <c r="B24" s="243"/>
      <c r="C24" s="243"/>
      <c r="D24" s="243"/>
      <c r="E24" s="243"/>
      <c r="F24" s="243"/>
      <c r="G24" s="243"/>
      <c r="H24" s="243"/>
      <c r="I24" s="243"/>
      <c r="J24" s="243"/>
      <c r="K24" s="243"/>
      <c r="L24" s="243"/>
      <c r="M24" s="243"/>
      <c r="N24" s="243"/>
      <c r="O24" s="243"/>
      <c r="P24" s="243"/>
      <c r="Q24" s="243"/>
      <c r="R24" s="243"/>
      <c r="S24" s="243"/>
      <c r="T24" s="243"/>
      <c r="U24" s="243"/>
      <c r="V24" s="243"/>
      <c r="W24" s="243"/>
      <c r="X24" s="243"/>
      <c r="Y24" s="243"/>
    </row>
    <row r="25" spans="1:25" ht="15.75" customHeight="1">
      <c r="A25" s="243"/>
      <c r="B25" s="243"/>
      <c r="C25" s="243"/>
      <c r="D25" s="243"/>
      <c r="E25" s="243"/>
      <c r="F25" s="243"/>
      <c r="G25" s="243"/>
      <c r="H25" s="243"/>
      <c r="I25" s="243"/>
      <c r="J25" s="243"/>
      <c r="K25" s="243"/>
      <c r="L25" s="243"/>
      <c r="M25" s="243"/>
      <c r="N25" s="243"/>
      <c r="O25" s="243"/>
      <c r="P25" s="243"/>
      <c r="Q25" s="243"/>
      <c r="R25" s="243"/>
      <c r="S25" s="243"/>
      <c r="T25" s="243"/>
      <c r="U25" s="243"/>
      <c r="V25" s="243"/>
      <c r="W25" s="243"/>
      <c r="X25" s="243"/>
      <c r="Y25" s="243"/>
    </row>
    <row r="27" spans="1:25" ht="15.75" customHeight="1">
      <c r="A27" s="243" t="s">
        <v>358</v>
      </c>
      <c r="B27" s="243"/>
      <c r="C27" s="243"/>
      <c r="D27" s="243"/>
      <c r="E27" s="243"/>
      <c r="F27" s="243"/>
      <c r="G27" s="243"/>
      <c r="H27" s="243"/>
      <c r="I27" s="243"/>
      <c r="J27" s="243"/>
      <c r="K27" s="243"/>
      <c r="L27" s="243"/>
      <c r="M27" s="243"/>
      <c r="N27" s="243"/>
      <c r="O27" s="243"/>
      <c r="P27" s="243"/>
      <c r="Q27" s="243"/>
      <c r="R27" s="243"/>
      <c r="S27" s="243"/>
      <c r="T27" s="243"/>
      <c r="U27" s="243"/>
      <c r="V27" s="243"/>
      <c r="W27" s="243"/>
      <c r="X27" s="243"/>
      <c r="Y27" s="243"/>
    </row>
    <row r="28" spans="1:25" ht="15.75" customHeight="1">
      <c r="A28" s="243"/>
      <c r="B28" s="243"/>
      <c r="C28" s="243"/>
      <c r="D28" s="243"/>
      <c r="E28" s="243"/>
      <c r="F28" s="243"/>
      <c r="G28" s="243"/>
      <c r="H28" s="243"/>
      <c r="I28" s="243"/>
      <c r="J28" s="243"/>
      <c r="K28" s="243"/>
      <c r="L28" s="243"/>
      <c r="M28" s="243"/>
      <c r="N28" s="243"/>
      <c r="O28" s="243"/>
      <c r="P28" s="243"/>
      <c r="Q28" s="243"/>
      <c r="R28" s="243"/>
      <c r="S28" s="243"/>
      <c r="T28" s="243"/>
      <c r="U28" s="243"/>
      <c r="V28" s="243"/>
      <c r="W28" s="243"/>
      <c r="X28" s="243"/>
      <c r="Y28" s="243"/>
    </row>
    <row r="29" spans="1:25" ht="15.75" customHeight="1">
      <c r="A29" s="243"/>
      <c r="B29" s="243"/>
      <c r="C29" s="243"/>
      <c r="D29" s="243"/>
      <c r="E29" s="243"/>
      <c r="F29" s="243"/>
      <c r="G29" s="243"/>
      <c r="H29" s="243"/>
      <c r="I29" s="243"/>
      <c r="J29" s="243"/>
      <c r="K29" s="243"/>
      <c r="L29" s="243"/>
      <c r="M29" s="243"/>
      <c r="N29" s="243"/>
      <c r="O29" s="243"/>
      <c r="P29" s="243"/>
      <c r="Q29" s="243"/>
      <c r="R29" s="243"/>
      <c r="S29" s="243"/>
      <c r="T29" s="243"/>
      <c r="U29" s="243"/>
      <c r="V29" s="243"/>
      <c r="W29" s="243"/>
      <c r="X29" s="243"/>
      <c r="Y29" s="243"/>
    </row>
    <row r="31" spans="1:25" ht="15.75" customHeight="1">
      <c r="A31" s="134" t="s">
        <v>50</v>
      </c>
      <c r="B31" s="249" t="s">
        <v>341</v>
      </c>
      <c r="C31" s="249"/>
      <c r="D31" s="249"/>
      <c r="E31" s="249"/>
      <c r="F31" s="249"/>
      <c r="G31" s="249"/>
      <c r="H31" s="249"/>
      <c r="I31" s="249"/>
      <c r="J31" s="249"/>
      <c r="K31" s="249"/>
      <c r="L31" s="249"/>
      <c r="M31" s="249"/>
      <c r="N31" s="249"/>
      <c r="O31" s="249"/>
      <c r="P31" s="249"/>
      <c r="Q31" s="249"/>
      <c r="R31" s="249"/>
      <c r="S31" s="249"/>
      <c r="T31" s="249"/>
      <c r="U31" s="249"/>
      <c r="V31" s="249"/>
      <c r="W31" s="249"/>
      <c r="X31" s="249"/>
      <c r="Y31" s="249"/>
    </row>
    <row r="32" spans="1:25" ht="15.75" customHeight="1">
      <c r="B32" s="249"/>
      <c r="C32" s="249"/>
      <c r="D32" s="249"/>
      <c r="E32" s="249"/>
      <c r="F32" s="249"/>
      <c r="G32" s="249"/>
      <c r="H32" s="249"/>
      <c r="I32" s="249"/>
      <c r="J32" s="249"/>
      <c r="K32" s="249"/>
      <c r="L32" s="249"/>
      <c r="M32" s="249"/>
      <c r="N32" s="249"/>
      <c r="O32" s="249"/>
      <c r="P32" s="249"/>
      <c r="Q32" s="249"/>
      <c r="R32" s="249"/>
      <c r="S32" s="249"/>
      <c r="T32" s="249"/>
      <c r="U32" s="249"/>
      <c r="V32" s="249"/>
      <c r="W32" s="249"/>
      <c r="X32" s="249"/>
      <c r="Y32" s="249"/>
    </row>
    <row r="33" spans="1:25" ht="15.75" customHeight="1">
      <c r="B33" s="249"/>
      <c r="C33" s="249"/>
      <c r="D33" s="249"/>
      <c r="E33" s="249"/>
      <c r="F33" s="249"/>
      <c r="G33" s="249"/>
      <c r="H33" s="249"/>
      <c r="I33" s="249"/>
      <c r="J33" s="249"/>
      <c r="K33" s="249"/>
      <c r="L33" s="249"/>
      <c r="M33" s="249"/>
      <c r="N33" s="249"/>
      <c r="O33" s="249"/>
      <c r="P33" s="249"/>
      <c r="Q33" s="249"/>
      <c r="R33" s="249"/>
      <c r="S33" s="249"/>
      <c r="T33" s="249"/>
      <c r="U33" s="249"/>
      <c r="V33" s="249"/>
      <c r="W33" s="249"/>
      <c r="X33" s="249"/>
      <c r="Y33" s="249"/>
    </row>
    <row r="35" spans="1:25" ht="15.75" customHeight="1">
      <c r="A35" s="134" t="s">
        <v>50</v>
      </c>
      <c r="B35" s="243" t="s">
        <v>337</v>
      </c>
      <c r="C35" s="243"/>
      <c r="D35" s="243"/>
      <c r="E35" s="243"/>
      <c r="F35" s="243"/>
      <c r="G35" s="243"/>
      <c r="H35" s="243"/>
      <c r="I35" s="243"/>
      <c r="J35" s="243"/>
      <c r="K35" s="243"/>
      <c r="L35" s="243"/>
      <c r="M35" s="243"/>
      <c r="N35" s="243"/>
      <c r="O35" s="243"/>
      <c r="P35" s="243"/>
      <c r="Q35" s="243"/>
      <c r="R35" s="243"/>
      <c r="S35" s="243"/>
      <c r="T35" s="243"/>
      <c r="U35" s="243"/>
      <c r="V35" s="243"/>
      <c r="W35" s="243"/>
      <c r="X35" s="243"/>
      <c r="Y35" s="243"/>
    </row>
    <row r="36" spans="1:25" ht="15.75" customHeight="1">
      <c r="B36" s="243"/>
      <c r="C36" s="243"/>
      <c r="D36" s="243"/>
      <c r="E36" s="243"/>
      <c r="F36" s="243"/>
      <c r="G36" s="243"/>
      <c r="H36" s="243"/>
      <c r="I36" s="243"/>
      <c r="J36" s="243"/>
      <c r="K36" s="243"/>
      <c r="L36" s="243"/>
      <c r="M36" s="243"/>
      <c r="N36" s="243"/>
      <c r="O36" s="243"/>
      <c r="P36" s="243"/>
      <c r="Q36" s="243"/>
      <c r="R36" s="243"/>
      <c r="S36" s="243"/>
      <c r="T36" s="243"/>
      <c r="U36" s="243"/>
      <c r="V36" s="243"/>
      <c r="W36" s="243"/>
      <c r="X36" s="243"/>
      <c r="Y36" s="243"/>
    </row>
    <row r="37" spans="1:25" ht="15.75" customHeight="1">
      <c r="B37" s="241"/>
      <c r="C37" s="241"/>
      <c r="D37" s="241"/>
      <c r="E37" s="241"/>
      <c r="F37" s="241"/>
      <c r="G37" s="241"/>
      <c r="H37" s="241"/>
      <c r="I37" s="241"/>
      <c r="J37" s="241"/>
      <c r="K37" s="241"/>
      <c r="L37" s="241"/>
      <c r="M37" s="241"/>
      <c r="N37" s="241"/>
      <c r="O37" s="241"/>
      <c r="P37" s="241"/>
      <c r="Q37" s="241"/>
      <c r="R37" s="241"/>
      <c r="S37" s="241"/>
      <c r="T37" s="241"/>
      <c r="U37" s="241"/>
      <c r="V37" s="241"/>
      <c r="W37" s="241"/>
      <c r="X37" s="241"/>
      <c r="Y37" s="241"/>
    </row>
    <row r="38" spans="1:25" ht="15.75" customHeight="1">
      <c r="A38" s="131" t="s">
        <v>50</v>
      </c>
      <c r="B38" s="244" t="s">
        <v>338</v>
      </c>
      <c r="C38" s="244"/>
      <c r="D38" s="244"/>
      <c r="E38" s="244"/>
      <c r="F38" s="244"/>
      <c r="G38" s="244"/>
      <c r="H38" s="244"/>
      <c r="I38" s="244"/>
      <c r="J38" s="244"/>
      <c r="K38" s="244"/>
      <c r="L38" s="244"/>
      <c r="M38" s="244"/>
      <c r="N38" s="244"/>
      <c r="O38" s="244"/>
      <c r="P38" s="244"/>
      <c r="Q38" s="244"/>
      <c r="R38" s="244"/>
      <c r="S38" s="244"/>
      <c r="T38" s="244"/>
      <c r="U38" s="244"/>
      <c r="V38" s="244"/>
      <c r="W38" s="244"/>
      <c r="X38" s="244"/>
      <c r="Y38" s="244"/>
    </row>
    <row r="39" spans="1:25" ht="15.75" customHeight="1">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row>
    <row r="40" spans="1:25" ht="15.75" customHeight="1">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row>
    <row r="41" spans="1:25" ht="15.75" customHeight="1">
      <c r="B41" s="36"/>
      <c r="C41" s="132"/>
      <c r="D41" s="132"/>
      <c r="E41" s="132"/>
      <c r="F41" s="132"/>
      <c r="G41" s="132"/>
      <c r="H41" s="132"/>
      <c r="I41" s="132"/>
      <c r="J41" s="132"/>
      <c r="K41" s="132"/>
      <c r="L41" s="132"/>
      <c r="M41" s="132"/>
      <c r="N41" s="132"/>
      <c r="O41" s="132"/>
      <c r="P41" s="132"/>
      <c r="Q41" s="132"/>
      <c r="R41" s="132"/>
      <c r="S41" s="132"/>
      <c r="T41" s="132"/>
      <c r="U41" s="132"/>
      <c r="V41" s="132"/>
      <c r="W41" s="132"/>
      <c r="X41" s="132"/>
      <c r="Y41" s="132"/>
    </row>
    <row r="42" spans="1:25" ht="15.75" customHeight="1">
      <c r="A42" s="131" t="s">
        <v>50</v>
      </c>
      <c r="B42" s="266" t="s">
        <v>342</v>
      </c>
      <c r="C42" s="266"/>
      <c r="D42" s="266"/>
      <c r="E42" s="266"/>
      <c r="F42" s="266"/>
      <c r="G42" s="266"/>
      <c r="H42" s="266"/>
      <c r="I42" s="266"/>
      <c r="J42" s="266"/>
      <c r="K42" s="266"/>
      <c r="L42" s="266"/>
      <c r="M42" s="266"/>
      <c r="N42" s="266"/>
      <c r="O42" s="266"/>
      <c r="P42" s="266"/>
      <c r="Q42" s="266"/>
      <c r="R42" s="266"/>
      <c r="S42" s="266"/>
      <c r="T42" s="266"/>
      <c r="U42" s="266"/>
      <c r="V42" s="266"/>
      <c r="W42" s="266"/>
      <c r="X42" s="266"/>
      <c r="Y42" s="266"/>
    </row>
    <row r="43" spans="1:25" ht="15.75" customHeight="1">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row>
    <row r="44" spans="1:25" ht="15.75" customHeight="1">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row>
    <row r="45" spans="1:25" ht="15.75" customHeight="1">
      <c r="A45" s="1" t="s">
        <v>31</v>
      </c>
      <c r="C45" s="9"/>
      <c r="D45" s="9"/>
      <c r="E45" s="9"/>
      <c r="F45" s="9"/>
      <c r="G45" s="9"/>
      <c r="H45" s="9"/>
      <c r="I45" s="9"/>
      <c r="J45" s="9"/>
      <c r="K45" s="9"/>
      <c r="L45" s="9"/>
      <c r="M45" s="9"/>
      <c r="N45" s="9"/>
      <c r="O45" s="9"/>
      <c r="P45" s="9"/>
      <c r="Q45" s="9"/>
      <c r="R45" s="9"/>
      <c r="S45" s="9"/>
      <c r="T45" s="9"/>
      <c r="U45" s="9"/>
      <c r="V45" s="9"/>
      <c r="W45" s="9"/>
      <c r="X45" s="9"/>
      <c r="Y45" s="40"/>
    </row>
    <row r="46" spans="1:25" ht="15.75" customHeight="1">
      <c r="B46" s="40"/>
      <c r="C46" s="9"/>
      <c r="D46" s="9"/>
      <c r="E46" s="9"/>
      <c r="F46" s="9"/>
      <c r="G46" s="9"/>
      <c r="H46" s="9"/>
      <c r="I46" s="9"/>
      <c r="J46" s="9"/>
      <c r="K46" s="9"/>
      <c r="L46" s="9"/>
      <c r="M46" s="9"/>
      <c r="N46" s="9"/>
      <c r="O46" s="9"/>
      <c r="P46" s="9"/>
      <c r="Q46" s="9"/>
      <c r="R46" s="9"/>
      <c r="S46" s="9"/>
      <c r="T46" s="9"/>
      <c r="U46" s="9"/>
      <c r="V46" s="9"/>
      <c r="W46" s="9"/>
      <c r="X46" s="9"/>
      <c r="Y46" s="40"/>
    </row>
    <row r="47" spans="1:25" ht="15.75" customHeight="1">
      <c r="A47" s="244" t="str">
        <f ca="1">"We recommend installing a Variable Speed Drive controlled by a pressure sensor on the 25 hp submersible river pump motor."&amp;"  This will allow system operation at a lower pressure while maintaining the current flow rate.  "&amp;"The VSD will also allow soft starting of the pump resulting in reduced lower maintenance costs (not included in our estimates)."&amp;" If the previously mentioned actions are taken, they will save "&amp;TEXT(G14,"###,###,###")&amp;" kWh annually and result in an annual cost savings of "&amp;TEXT(K14,"$###,###,###")&amp;". Take advantage of the included incentive programs for a net payback of "&amp;TEXT(U14,"#0.0")&amp;" years with an implementation cost of "&amp;TEXT(O14,"$###,###,###")&amp;"."</f>
        <v>We recommend installing a Variable Speed Drive controlled by a pressure sensor on the 25 hp submersible river pump motor.  This will allow system operation at a lower pressure while maintaining the current flow rate.  The VSD will also allow soft starting of the pump resulting in reduced lower maintenance costs (not included in our estimates). If the previously mentioned actions are taken, they will save 6,940 kWh annually and result in an annual cost savings of $484. Take advantage of the included incentive programs for a net payback of 10.8 years with an implementation cost of $5,230.</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row>
    <row r="48" spans="1:25" ht="15.75" customHeight="1">
      <c r="A48" s="244"/>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row>
    <row r="49" spans="1:25" ht="15.75" customHeight="1">
      <c r="A49" s="244"/>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row>
    <row r="50" spans="1:25" ht="15.75" customHeight="1">
      <c r="A50" s="244"/>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row>
    <row r="51" spans="1:25" ht="15.75" customHeight="1">
      <c r="A51" s="244"/>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row>
    <row r="52" spans="1:25" ht="15.75" customHeight="1">
      <c r="A52" s="244"/>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row>
    <row r="53" spans="1:25" ht="15.75" customHeight="1">
      <c r="A53" s="244"/>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row>
    <row r="54" spans="1:25" ht="15.75" customHeight="1">
      <c r="B54" s="40"/>
      <c r="C54" s="133"/>
      <c r="D54" s="133"/>
      <c r="E54" s="133"/>
      <c r="F54" s="133"/>
      <c r="G54" s="133"/>
      <c r="H54" s="133"/>
      <c r="I54" s="133"/>
      <c r="J54" s="133"/>
      <c r="K54" s="133"/>
      <c r="L54" s="133"/>
      <c r="M54" s="133"/>
      <c r="N54" s="133"/>
      <c r="O54" s="133"/>
      <c r="P54" s="133"/>
      <c r="Q54" s="133"/>
      <c r="R54" s="133"/>
      <c r="S54" s="133"/>
      <c r="T54" s="133"/>
      <c r="U54" s="133"/>
      <c r="V54" s="133"/>
      <c r="W54" s="133"/>
      <c r="X54" s="133"/>
      <c r="Y54" s="40"/>
    </row>
    <row r="55" spans="1:25" ht="15.75" customHeight="1">
      <c r="B55" s="40"/>
      <c r="C55" s="40"/>
      <c r="D55" s="40"/>
      <c r="E55" s="40"/>
      <c r="F55" s="133"/>
      <c r="G55" s="133"/>
      <c r="H55" s="133"/>
      <c r="I55" s="133"/>
      <c r="J55" s="133"/>
      <c r="K55" s="133"/>
      <c r="L55" s="133"/>
      <c r="M55" s="133"/>
      <c r="N55" s="133"/>
      <c r="O55" s="133"/>
      <c r="P55" s="133"/>
      <c r="Q55" s="133"/>
      <c r="R55" s="133"/>
      <c r="S55" s="133"/>
      <c r="T55" s="133"/>
      <c r="U55" s="133"/>
      <c r="V55" s="133"/>
      <c r="W55" s="133"/>
      <c r="X55" s="133"/>
      <c r="Y55" s="40"/>
    </row>
    <row r="56" spans="1:25" ht="15.75" customHeight="1">
      <c r="B56" s="40"/>
      <c r="C56" s="40"/>
      <c r="D56" s="40"/>
      <c r="E56" s="40"/>
      <c r="F56" s="10"/>
      <c r="G56" s="10"/>
      <c r="H56" s="10"/>
      <c r="I56" s="10"/>
      <c r="J56" s="10"/>
      <c r="K56" s="10"/>
      <c r="L56" s="10"/>
      <c r="M56" s="10"/>
      <c r="N56" s="10"/>
      <c r="O56" s="10"/>
      <c r="P56" s="10"/>
      <c r="Q56" s="10"/>
      <c r="R56" s="10"/>
      <c r="S56" s="10"/>
      <c r="T56" s="10"/>
      <c r="U56" s="10"/>
      <c r="V56" s="36"/>
      <c r="W56" s="36"/>
      <c r="X56" s="40"/>
      <c r="Y56" s="40"/>
    </row>
    <row r="57" spans="1:25" ht="15.75" customHeight="1">
      <c r="B57" s="40"/>
      <c r="C57" s="40"/>
      <c r="D57" s="40"/>
      <c r="E57" s="40"/>
      <c r="F57" s="9"/>
      <c r="G57" s="9"/>
      <c r="H57" s="9"/>
      <c r="I57" s="9"/>
      <c r="J57" s="9"/>
      <c r="K57" s="9"/>
      <c r="L57" s="9"/>
      <c r="M57" s="9"/>
      <c r="N57" s="9"/>
      <c r="O57" s="9"/>
      <c r="P57" s="9"/>
      <c r="Q57" s="9"/>
      <c r="R57" s="9"/>
      <c r="S57" s="9"/>
      <c r="T57" s="9"/>
      <c r="U57" s="9"/>
      <c r="V57" s="34"/>
      <c r="W57" s="34"/>
      <c r="X57" s="40"/>
      <c r="Y57" s="40"/>
    </row>
    <row r="58" spans="1:25" ht="15.75" customHeight="1">
      <c r="B58" s="40"/>
      <c r="C58" s="40"/>
      <c r="D58" s="40"/>
      <c r="E58" s="40"/>
      <c r="F58" s="9"/>
      <c r="G58" s="9"/>
      <c r="H58" s="9"/>
      <c r="I58" s="9"/>
      <c r="J58" s="9"/>
      <c r="K58" s="9"/>
      <c r="L58" s="9"/>
      <c r="M58" s="9"/>
      <c r="N58" s="9"/>
      <c r="O58" s="9"/>
      <c r="P58" s="9"/>
      <c r="Q58" s="9"/>
      <c r="R58" s="9"/>
      <c r="S58" s="9"/>
      <c r="T58" s="9"/>
      <c r="U58" s="9"/>
      <c r="V58" s="34"/>
      <c r="W58" s="34"/>
      <c r="X58" s="40"/>
      <c r="Y58" s="40"/>
    </row>
    <row r="59" spans="1:25" ht="15.75" customHeight="1">
      <c r="B59" s="40"/>
      <c r="C59" s="40"/>
      <c r="D59" s="40"/>
      <c r="E59" s="40"/>
      <c r="F59" s="9"/>
      <c r="G59" s="9"/>
      <c r="H59" s="9"/>
      <c r="I59" s="9"/>
      <c r="J59" s="9"/>
      <c r="K59" s="9"/>
      <c r="L59" s="9"/>
      <c r="M59" s="9"/>
      <c r="N59" s="9"/>
      <c r="O59" s="9"/>
      <c r="P59" s="9"/>
      <c r="Q59" s="9"/>
      <c r="R59" s="9"/>
      <c r="S59" s="9"/>
      <c r="T59" s="9"/>
      <c r="U59" s="9"/>
      <c r="V59" s="34"/>
      <c r="W59" s="34"/>
      <c r="X59" s="40"/>
      <c r="Y59" s="40"/>
    </row>
    <row r="60" spans="1:25" ht="15.75" customHeight="1">
      <c r="B60" s="40"/>
      <c r="C60" s="40"/>
      <c r="D60" s="40"/>
      <c r="E60" s="40"/>
      <c r="F60" s="133"/>
      <c r="G60" s="133"/>
      <c r="H60" s="133"/>
      <c r="I60" s="133"/>
      <c r="J60" s="133"/>
      <c r="K60" s="133"/>
      <c r="L60" s="133"/>
      <c r="M60" s="133"/>
      <c r="N60" s="133"/>
      <c r="O60" s="133"/>
      <c r="P60" s="133"/>
      <c r="Q60" s="133"/>
      <c r="R60" s="133"/>
      <c r="S60" s="133"/>
      <c r="T60" s="133"/>
      <c r="U60" s="133"/>
      <c r="V60" s="34"/>
      <c r="W60" s="34"/>
      <c r="X60" s="40"/>
      <c r="Y60" s="40"/>
    </row>
    <row r="61" spans="1:25" ht="15.75" customHeight="1">
      <c r="B61" s="40"/>
      <c r="C61" s="40"/>
      <c r="D61" s="40"/>
      <c r="E61" s="40"/>
      <c r="F61" s="133"/>
      <c r="G61" s="133"/>
      <c r="H61" s="133"/>
      <c r="I61" s="133"/>
      <c r="J61" s="133"/>
      <c r="K61" s="133"/>
      <c r="L61" s="133"/>
      <c r="M61" s="133"/>
      <c r="N61" s="133"/>
      <c r="O61" s="133"/>
      <c r="P61" s="133"/>
      <c r="Q61" s="133"/>
      <c r="R61" s="133"/>
      <c r="S61" s="133"/>
      <c r="T61" s="133"/>
      <c r="U61" s="133"/>
      <c r="V61" s="34"/>
      <c r="W61" s="34"/>
      <c r="X61" s="40"/>
      <c r="Y61" s="40"/>
    </row>
    <row r="62" spans="1:25" ht="15.75" customHeight="1">
      <c r="B62" s="40"/>
      <c r="C62" s="40"/>
      <c r="D62" s="40"/>
      <c r="E62" s="40"/>
      <c r="F62" s="9"/>
      <c r="G62" s="9"/>
      <c r="H62" s="9"/>
      <c r="I62" s="34"/>
      <c r="J62" s="34"/>
      <c r="K62" s="34"/>
      <c r="L62" s="34"/>
      <c r="M62" s="34"/>
      <c r="N62" s="34"/>
      <c r="O62" s="34"/>
      <c r="P62" s="34"/>
      <c r="Q62" s="34"/>
      <c r="R62" s="34"/>
      <c r="S62" s="34"/>
      <c r="T62" s="40"/>
      <c r="U62" s="40"/>
      <c r="V62" s="40"/>
      <c r="W62" s="40"/>
      <c r="X62" s="40"/>
      <c r="Y62" s="40"/>
    </row>
    <row r="63" spans="1:25" ht="15.75" customHeight="1">
      <c r="B63" s="40"/>
      <c r="C63" s="40"/>
      <c r="D63" s="40"/>
      <c r="E63" s="40"/>
      <c r="F63" s="40"/>
      <c r="G63" s="40"/>
      <c r="H63" s="10"/>
      <c r="I63" s="10"/>
      <c r="J63" s="10"/>
      <c r="K63" s="10"/>
      <c r="L63" s="10"/>
      <c r="M63" s="10"/>
      <c r="N63" s="10"/>
      <c r="O63" s="10"/>
      <c r="P63" s="10"/>
      <c r="Q63" s="10"/>
      <c r="R63" s="10"/>
      <c r="S63" s="10"/>
      <c r="T63" s="40"/>
      <c r="U63" s="10"/>
      <c r="V63" s="40"/>
      <c r="W63" s="40"/>
      <c r="X63" s="40"/>
      <c r="Y63" s="40"/>
    </row>
    <row r="64" spans="1:25" ht="15.75" customHeight="1">
      <c r="B64" s="40"/>
      <c r="C64" s="40"/>
      <c r="D64" s="40"/>
      <c r="E64" s="40"/>
      <c r="F64" s="9"/>
      <c r="G64" s="9"/>
      <c r="H64" s="9"/>
      <c r="I64" s="9"/>
      <c r="J64" s="9"/>
      <c r="K64" s="9"/>
      <c r="L64" s="9"/>
      <c r="M64" s="9"/>
      <c r="N64" s="9"/>
      <c r="O64" s="9"/>
      <c r="P64" s="9"/>
      <c r="Q64" s="9"/>
      <c r="R64" s="9"/>
      <c r="S64" s="9"/>
      <c r="T64" s="40"/>
      <c r="U64" s="40"/>
      <c r="V64" s="40"/>
      <c r="W64" s="40"/>
      <c r="X64" s="40"/>
      <c r="Y64" s="40"/>
    </row>
    <row r="65" spans="1:25" ht="15.75" customHeight="1">
      <c r="B65" s="40"/>
      <c r="C65" s="40"/>
      <c r="D65" s="40"/>
      <c r="E65" s="40"/>
      <c r="F65" s="40"/>
      <c r="G65" s="40"/>
      <c r="H65" s="9"/>
      <c r="I65" s="9"/>
      <c r="J65" s="9"/>
      <c r="K65" s="9"/>
      <c r="L65" s="9"/>
      <c r="M65" s="9"/>
      <c r="N65" s="9"/>
      <c r="O65" s="9"/>
      <c r="P65" s="9"/>
      <c r="Q65" s="9"/>
      <c r="R65" s="9"/>
      <c r="S65" s="9"/>
      <c r="T65" s="40"/>
      <c r="U65" s="40"/>
      <c r="V65" s="40"/>
      <c r="W65" s="40"/>
      <c r="X65" s="40"/>
      <c r="Y65" s="40"/>
    </row>
    <row r="66" spans="1:25" ht="15.75" customHeight="1">
      <c r="B66" s="40"/>
      <c r="C66" s="40"/>
      <c r="D66" s="40"/>
      <c r="E66" s="40"/>
      <c r="F66" s="40"/>
      <c r="G66" s="40"/>
      <c r="H66" s="9"/>
      <c r="I66" s="9"/>
      <c r="J66" s="9"/>
      <c r="K66" s="9"/>
      <c r="L66" s="9"/>
      <c r="M66" s="9"/>
      <c r="N66" s="9"/>
      <c r="O66" s="9"/>
      <c r="P66" s="9"/>
      <c r="Q66" s="9"/>
      <c r="R66" s="9"/>
      <c r="S66" s="9"/>
      <c r="T66" s="40"/>
      <c r="U66" s="40"/>
      <c r="V66" s="40"/>
      <c r="W66" s="40"/>
      <c r="X66" s="40"/>
      <c r="Y66" s="40"/>
    </row>
    <row r="67" spans="1:25" ht="15.75" customHeight="1">
      <c r="B67" s="40"/>
      <c r="C67" s="40"/>
      <c r="D67" s="40"/>
      <c r="E67" s="40"/>
      <c r="F67" s="40"/>
      <c r="G67" s="40"/>
      <c r="H67" s="133"/>
      <c r="I67" s="133"/>
      <c r="J67" s="133"/>
      <c r="K67" s="133"/>
      <c r="L67" s="133"/>
      <c r="M67" s="133"/>
      <c r="N67" s="133"/>
      <c r="O67" s="133"/>
      <c r="P67" s="133"/>
      <c r="Q67" s="133"/>
      <c r="R67" s="133"/>
      <c r="S67" s="133"/>
      <c r="T67" s="40"/>
      <c r="U67" s="40"/>
      <c r="V67" s="40"/>
      <c r="W67" s="40"/>
      <c r="X67" s="40"/>
      <c r="Y67" s="40"/>
    </row>
    <row r="68" spans="1:25" ht="15.75" customHeight="1">
      <c r="B68" s="40"/>
      <c r="C68" s="40"/>
      <c r="D68" s="40"/>
      <c r="E68" s="40"/>
      <c r="F68" s="40"/>
      <c r="G68" s="40"/>
      <c r="H68" s="40"/>
      <c r="I68" s="40"/>
      <c r="J68" s="40"/>
      <c r="K68" s="40"/>
      <c r="L68" s="40"/>
      <c r="M68" s="40"/>
      <c r="N68" s="40"/>
      <c r="O68" s="40"/>
      <c r="P68" s="40"/>
      <c r="Q68" s="40"/>
      <c r="R68" s="40"/>
      <c r="S68" s="40"/>
      <c r="T68" s="40"/>
      <c r="U68" s="40"/>
      <c r="V68" s="40"/>
      <c r="W68" s="40"/>
      <c r="X68" s="40"/>
      <c r="Y68" s="40"/>
    </row>
    <row r="69" spans="1:25" ht="15.75" customHeight="1">
      <c r="B69" s="40"/>
      <c r="C69" s="40"/>
      <c r="D69" s="265" t="s">
        <v>294</v>
      </c>
      <c r="E69" s="265"/>
      <c r="F69" s="265"/>
      <c r="G69" s="265"/>
      <c r="H69" s="265"/>
      <c r="I69" s="265"/>
      <c r="J69" s="265"/>
      <c r="K69" s="265"/>
      <c r="L69" s="265"/>
      <c r="M69" s="265"/>
      <c r="N69" s="265"/>
      <c r="O69" s="265"/>
      <c r="P69" s="265"/>
      <c r="Q69" s="265"/>
      <c r="R69" s="265"/>
      <c r="S69" s="265"/>
      <c r="T69" s="265"/>
      <c r="U69" s="265"/>
      <c r="V69" s="265"/>
      <c r="W69" s="265"/>
      <c r="X69" s="40"/>
      <c r="Y69" s="40"/>
    </row>
    <row r="70" spans="1:25" ht="15.75" customHeight="1">
      <c r="B70" s="41"/>
      <c r="C70" s="40"/>
      <c r="D70" s="40"/>
      <c r="E70" s="40"/>
      <c r="F70" s="40"/>
      <c r="G70" s="40"/>
      <c r="H70" s="40"/>
      <c r="I70" s="40"/>
      <c r="J70" s="40"/>
      <c r="K70" s="40"/>
      <c r="L70" s="40"/>
      <c r="M70" s="40"/>
      <c r="N70" s="40"/>
      <c r="O70" s="40"/>
      <c r="P70" s="40"/>
      <c r="Q70" s="40"/>
      <c r="R70" s="40"/>
      <c r="S70" s="40"/>
      <c r="T70" s="40"/>
      <c r="U70" s="40"/>
      <c r="V70" s="40"/>
      <c r="W70" s="40"/>
      <c r="X70" s="40"/>
      <c r="Y70" s="40"/>
    </row>
    <row r="71" spans="1:25" ht="15.75" customHeight="1">
      <c r="B71" s="40"/>
      <c r="C71" s="40"/>
      <c r="D71" s="40"/>
      <c r="E71" s="40"/>
      <c r="F71" s="40"/>
      <c r="G71" s="40"/>
      <c r="H71" s="40"/>
      <c r="I71" s="40"/>
      <c r="J71" s="40"/>
      <c r="K71" s="40"/>
      <c r="L71" s="40"/>
      <c r="M71" s="40"/>
      <c r="N71" s="40"/>
      <c r="O71" s="40"/>
      <c r="P71" s="40"/>
      <c r="Q71" s="40"/>
      <c r="R71" s="40"/>
      <c r="S71" s="40"/>
      <c r="T71" s="40"/>
      <c r="U71" s="40"/>
      <c r="V71" s="40"/>
      <c r="W71" s="40"/>
      <c r="X71" s="40"/>
      <c r="Y71" s="40"/>
    </row>
    <row r="72" spans="1:25" ht="15.75" customHeight="1">
      <c r="A72" s="1" t="s">
        <v>45</v>
      </c>
      <c r="B72" s="40"/>
      <c r="C72" s="40"/>
      <c r="D72" s="40"/>
      <c r="E72" s="40"/>
      <c r="F72" s="40"/>
      <c r="G72" s="40"/>
      <c r="H72" s="40"/>
      <c r="I72" s="40"/>
      <c r="J72" s="40"/>
      <c r="K72" s="40"/>
      <c r="L72" s="40"/>
      <c r="M72" s="40"/>
      <c r="N72" s="40"/>
      <c r="O72" s="40"/>
      <c r="P72" s="40"/>
      <c r="Q72" s="40"/>
      <c r="R72" s="40"/>
      <c r="S72" s="40"/>
      <c r="T72" s="40"/>
      <c r="U72" s="40"/>
      <c r="V72" s="40"/>
      <c r="W72" s="40"/>
      <c r="X72" s="40"/>
      <c r="Y72" s="40"/>
    </row>
    <row r="73" spans="1:25" ht="15.75" customHeight="1">
      <c r="B73" s="40"/>
      <c r="C73" s="40"/>
      <c r="D73" s="40"/>
      <c r="E73" s="40"/>
      <c r="F73" s="40"/>
      <c r="G73" s="40"/>
      <c r="H73" s="40"/>
      <c r="I73" s="40"/>
      <c r="J73" s="40"/>
      <c r="K73" s="40"/>
      <c r="L73" s="40"/>
      <c r="M73" s="40"/>
      <c r="N73" s="40"/>
      <c r="O73" s="40"/>
      <c r="P73" s="40"/>
      <c r="Q73" s="40"/>
      <c r="R73" s="40"/>
      <c r="S73" s="40"/>
      <c r="T73" s="40"/>
      <c r="U73" s="40"/>
      <c r="V73" s="40"/>
      <c r="W73" s="40"/>
      <c r="X73" s="40"/>
      <c r="Y73" s="40"/>
    </row>
    <row r="74" spans="1:25" ht="15.75" customHeight="1">
      <c r="A74" s="247" t="s">
        <v>361</v>
      </c>
      <c r="B74" s="247"/>
      <c r="C74" s="247"/>
      <c r="D74" s="247"/>
      <c r="E74" s="247"/>
      <c r="F74" s="247"/>
      <c r="G74" s="247"/>
      <c r="H74" s="247"/>
      <c r="I74" s="247"/>
      <c r="J74" s="247"/>
      <c r="K74" s="247"/>
      <c r="L74" s="247"/>
      <c r="M74" s="247"/>
      <c r="N74" s="247"/>
      <c r="O74" s="247"/>
      <c r="P74" s="247"/>
      <c r="Q74" s="247"/>
      <c r="R74" s="247"/>
      <c r="S74" s="247"/>
      <c r="T74" s="247"/>
      <c r="U74" s="247"/>
      <c r="V74" s="247"/>
      <c r="W74" s="247"/>
      <c r="X74" s="247"/>
      <c r="Y74" s="247"/>
    </row>
    <row r="75" spans="1:25" ht="15.75" customHeight="1">
      <c r="A75" s="247"/>
      <c r="B75" s="247"/>
      <c r="C75" s="247"/>
      <c r="D75" s="247"/>
      <c r="E75" s="247"/>
      <c r="F75" s="247"/>
      <c r="G75" s="247"/>
      <c r="H75" s="247"/>
      <c r="I75" s="247"/>
      <c r="J75" s="247"/>
      <c r="K75" s="247"/>
      <c r="L75" s="247"/>
      <c r="M75" s="247"/>
      <c r="N75" s="247"/>
      <c r="O75" s="247"/>
      <c r="P75" s="247"/>
      <c r="Q75" s="247"/>
      <c r="R75" s="247"/>
      <c r="S75" s="247"/>
      <c r="T75" s="247"/>
      <c r="U75" s="247"/>
      <c r="V75" s="247"/>
      <c r="W75" s="247"/>
      <c r="X75" s="247"/>
      <c r="Y75" s="247"/>
    </row>
    <row r="76" spans="1:25" ht="15.75" customHeight="1">
      <c r="A76" s="247"/>
      <c r="B76" s="247"/>
      <c r="C76" s="247"/>
      <c r="D76" s="247"/>
      <c r="E76" s="247"/>
      <c r="F76" s="247"/>
      <c r="G76" s="247"/>
      <c r="H76" s="247"/>
      <c r="I76" s="247"/>
      <c r="J76" s="247"/>
      <c r="K76" s="247"/>
      <c r="L76" s="247"/>
      <c r="M76" s="247"/>
      <c r="N76" s="247"/>
      <c r="O76" s="247"/>
      <c r="P76" s="247"/>
      <c r="Q76" s="247"/>
      <c r="R76" s="247"/>
      <c r="S76" s="247"/>
      <c r="T76" s="247"/>
      <c r="U76" s="247"/>
      <c r="V76" s="247"/>
      <c r="W76" s="247"/>
      <c r="X76" s="247"/>
      <c r="Y76" s="247"/>
    </row>
    <row r="77" spans="1:25" ht="15.75" customHeight="1">
      <c r="A77" s="247"/>
      <c r="B77" s="247"/>
      <c r="C77" s="247"/>
      <c r="D77" s="247"/>
      <c r="E77" s="247"/>
      <c r="F77" s="247"/>
      <c r="G77" s="247"/>
      <c r="H77" s="247"/>
      <c r="I77" s="247"/>
      <c r="J77" s="247"/>
      <c r="K77" s="247"/>
      <c r="L77" s="247"/>
      <c r="M77" s="247"/>
      <c r="N77" s="247"/>
      <c r="O77" s="247"/>
      <c r="P77" s="247"/>
      <c r="Q77" s="247"/>
      <c r="R77" s="247"/>
      <c r="S77" s="247"/>
      <c r="T77" s="247"/>
      <c r="U77" s="247"/>
      <c r="V77" s="247"/>
      <c r="W77" s="247"/>
      <c r="X77" s="247"/>
      <c r="Y77" s="247"/>
    </row>
    <row r="78" spans="1:25" ht="15.75" customHeight="1">
      <c r="A78" s="247"/>
      <c r="B78" s="247"/>
      <c r="C78" s="247"/>
      <c r="D78" s="247"/>
      <c r="E78" s="247"/>
      <c r="F78" s="247"/>
      <c r="G78" s="247"/>
      <c r="H78" s="247"/>
      <c r="I78" s="247"/>
      <c r="J78" s="247"/>
      <c r="K78" s="247"/>
      <c r="L78" s="247"/>
      <c r="M78" s="247"/>
      <c r="N78" s="247"/>
      <c r="O78" s="247"/>
      <c r="P78" s="247"/>
      <c r="Q78" s="247"/>
      <c r="R78" s="247"/>
      <c r="S78" s="247"/>
      <c r="T78" s="247"/>
      <c r="U78" s="247"/>
      <c r="V78" s="247"/>
      <c r="W78" s="247"/>
      <c r="X78" s="247"/>
      <c r="Y78" s="247"/>
    </row>
    <row r="79" spans="1:25" ht="15.75" customHeight="1">
      <c r="A79" s="247"/>
      <c r="B79" s="247"/>
      <c r="C79" s="247"/>
      <c r="D79" s="247"/>
      <c r="E79" s="247"/>
      <c r="F79" s="247"/>
      <c r="G79" s="247"/>
      <c r="H79" s="247"/>
      <c r="I79" s="247"/>
      <c r="J79" s="247"/>
      <c r="K79" s="247"/>
      <c r="L79" s="247"/>
      <c r="M79" s="247"/>
      <c r="N79" s="247"/>
      <c r="O79" s="247"/>
      <c r="P79" s="247"/>
      <c r="Q79" s="247"/>
      <c r="R79" s="247"/>
      <c r="S79" s="247"/>
      <c r="T79" s="247"/>
      <c r="U79" s="247"/>
      <c r="V79" s="247"/>
      <c r="W79" s="247"/>
      <c r="X79" s="247"/>
      <c r="Y79" s="247"/>
    </row>
    <row r="80" spans="1:25" ht="15.75" customHeight="1">
      <c r="A80" s="247"/>
      <c r="B80" s="247"/>
      <c r="C80" s="247"/>
      <c r="D80" s="247"/>
      <c r="E80" s="247"/>
      <c r="F80" s="247"/>
      <c r="G80" s="247"/>
      <c r="H80" s="247"/>
      <c r="I80" s="247"/>
      <c r="J80" s="247"/>
      <c r="K80" s="247"/>
      <c r="L80" s="247"/>
      <c r="M80" s="247"/>
      <c r="N80" s="247"/>
      <c r="O80" s="247"/>
      <c r="P80" s="247"/>
      <c r="Q80" s="247"/>
      <c r="R80" s="247"/>
      <c r="S80" s="247"/>
      <c r="T80" s="247"/>
      <c r="U80" s="247"/>
      <c r="V80" s="247"/>
      <c r="W80" s="247"/>
      <c r="X80" s="247"/>
      <c r="Y80" s="247"/>
    </row>
    <row r="81" spans="1:25" ht="15.75" customHeight="1">
      <c r="A81" s="247"/>
      <c r="B81" s="247"/>
      <c r="C81" s="247"/>
      <c r="D81" s="247"/>
      <c r="E81" s="247"/>
      <c r="F81" s="247"/>
      <c r="G81" s="247"/>
      <c r="H81" s="247"/>
      <c r="I81" s="247"/>
      <c r="J81" s="247"/>
      <c r="K81" s="247"/>
      <c r="L81" s="247"/>
      <c r="M81" s="247"/>
      <c r="N81" s="247"/>
      <c r="O81" s="247"/>
      <c r="P81" s="247"/>
      <c r="Q81" s="247"/>
      <c r="R81" s="247"/>
      <c r="S81" s="247"/>
      <c r="T81" s="247"/>
      <c r="U81" s="247"/>
      <c r="V81" s="247"/>
      <c r="W81" s="247"/>
      <c r="X81" s="247"/>
      <c r="Y81" s="247"/>
    </row>
    <row r="83" spans="1:25" ht="15.75" customHeight="1">
      <c r="A83" s="242" t="s">
        <v>320</v>
      </c>
      <c r="B83" s="242"/>
      <c r="C83" s="242"/>
      <c r="D83" s="242"/>
      <c r="E83" s="242"/>
      <c r="F83" s="242"/>
      <c r="G83" s="242"/>
      <c r="H83" s="242"/>
      <c r="I83" s="242"/>
      <c r="J83" s="242"/>
      <c r="K83" s="242"/>
      <c r="L83" s="242"/>
      <c r="M83" s="242"/>
      <c r="N83" s="242"/>
      <c r="O83" s="242"/>
      <c r="P83" s="242"/>
      <c r="Q83" s="242"/>
      <c r="R83" s="242"/>
      <c r="S83" s="242"/>
      <c r="T83" s="242"/>
      <c r="U83" s="242"/>
      <c r="V83" s="242"/>
      <c r="W83" s="242"/>
      <c r="X83" s="242"/>
      <c r="Y83" s="242"/>
    </row>
    <row r="84" spans="1:25" ht="15.75" customHeight="1">
      <c r="A84" s="242"/>
      <c r="B84" s="242"/>
      <c r="C84" s="242"/>
      <c r="D84" s="242"/>
      <c r="E84" s="242"/>
      <c r="F84" s="242"/>
      <c r="G84" s="242"/>
      <c r="H84" s="242"/>
      <c r="I84" s="242"/>
      <c r="J84" s="242"/>
      <c r="K84" s="242"/>
      <c r="L84" s="242"/>
      <c r="M84" s="242"/>
      <c r="N84" s="242"/>
      <c r="O84" s="242"/>
      <c r="P84" s="242"/>
      <c r="Q84" s="242"/>
      <c r="R84" s="242"/>
      <c r="S84" s="242"/>
      <c r="T84" s="242"/>
      <c r="U84" s="242"/>
      <c r="V84" s="242"/>
      <c r="W84" s="242"/>
      <c r="X84" s="242"/>
      <c r="Y84" s="242"/>
    </row>
    <row r="86" spans="1:25" ht="15.75" customHeight="1">
      <c r="A86" s="243" t="s">
        <v>360</v>
      </c>
      <c r="B86" s="243"/>
      <c r="C86" s="243"/>
      <c r="D86" s="243"/>
      <c r="E86" s="243"/>
      <c r="F86" s="243"/>
      <c r="G86" s="243"/>
      <c r="H86" s="243"/>
      <c r="I86" s="243"/>
      <c r="J86" s="243"/>
      <c r="K86" s="243"/>
      <c r="L86" s="243"/>
      <c r="M86" s="243"/>
      <c r="N86" s="243"/>
      <c r="O86" s="243"/>
      <c r="P86" s="243"/>
      <c r="Q86" s="243"/>
      <c r="R86" s="243"/>
      <c r="S86" s="243"/>
      <c r="T86" s="243"/>
      <c r="U86" s="243"/>
      <c r="V86" s="243"/>
      <c r="W86" s="243"/>
      <c r="X86" s="243"/>
      <c r="Y86" s="243"/>
    </row>
    <row r="87" spans="1:25" ht="15.75" customHeight="1">
      <c r="A87" s="243"/>
      <c r="B87" s="243"/>
      <c r="C87" s="243"/>
      <c r="D87" s="243"/>
      <c r="E87" s="243"/>
      <c r="F87" s="243"/>
      <c r="G87" s="243"/>
      <c r="H87" s="243"/>
      <c r="I87" s="243"/>
      <c r="J87" s="243"/>
      <c r="K87" s="243"/>
      <c r="L87" s="243"/>
      <c r="M87" s="243"/>
      <c r="N87" s="243"/>
      <c r="O87" s="243"/>
      <c r="P87" s="243"/>
      <c r="Q87" s="243"/>
      <c r="R87" s="243"/>
      <c r="S87" s="243"/>
      <c r="T87" s="243"/>
      <c r="U87" s="243"/>
      <c r="V87" s="243"/>
      <c r="W87" s="243"/>
      <c r="X87" s="243"/>
      <c r="Y87" s="243"/>
    </row>
    <row r="88" spans="1:25" ht="15.75" customHeight="1">
      <c r="A88" s="132"/>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row>
    <row r="89" spans="1:25" ht="15.75" customHeight="1">
      <c r="A89" s="244" t="s">
        <v>359</v>
      </c>
      <c r="B89" s="244"/>
      <c r="C89" s="244"/>
      <c r="D89" s="244"/>
      <c r="E89" s="244"/>
      <c r="F89" s="244"/>
      <c r="G89" s="244"/>
      <c r="H89" s="244"/>
      <c r="I89" s="244"/>
      <c r="J89" s="244"/>
      <c r="K89" s="244"/>
      <c r="L89" s="244"/>
      <c r="M89" s="244"/>
      <c r="N89" s="244"/>
      <c r="O89" s="244"/>
      <c r="P89" s="244"/>
      <c r="Q89" s="244"/>
      <c r="R89" s="244"/>
      <c r="S89" s="244"/>
      <c r="T89" s="244"/>
      <c r="U89" s="244"/>
      <c r="V89" s="244"/>
      <c r="W89" s="244"/>
      <c r="X89" s="244"/>
      <c r="Y89" s="244"/>
    </row>
    <row r="90" spans="1:25" ht="15.75" customHeight="1">
      <c r="A90" s="244"/>
      <c r="B90" s="244"/>
      <c r="C90" s="244"/>
      <c r="D90" s="244"/>
      <c r="E90" s="244"/>
      <c r="F90" s="244"/>
      <c r="G90" s="244"/>
      <c r="H90" s="244"/>
      <c r="I90" s="244"/>
      <c r="J90" s="244"/>
      <c r="K90" s="244"/>
      <c r="L90" s="244"/>
      <c r="M90" s="244"/>
      <c r="N90" s="244"/>
      <c r="O90" s="244"/>
      <c r="P90" s="244"/>
      <c r="Q90" s="244"/>
      <c r="R90" s="244"/>
      <c r="S90" s="244"/>
      <c r="T90" s="244"/>
      <c r="U90" s="244"/>
      <c r="V90" s="244"/>
      <c r="W90" s="244"/>
      <c r="X90" s="244"/>
      <c r="Y90" s="244"/>
    </row>
    <row r="92" spans="1:25" ht="15.75" customHeight="1">
      <c r="A92" s="242" t="s">
        <v>364</v>
      </c>
      <c r="B92" s="242"/>
      <c r="C92" s="242"/>
      <c r="D92" s="242"/>
      <c r="E92" s="242"/>
      <c r="F92" s="242"/>
      <c r="G92" s="242"/>
      <c r="H92" s="242"/>
      <c r="I92" s="242"/>
      <c r="J92" s="242"/>
      <c r="K92" s="242"/>
      <c r="L92" s="242"/>
      <c r="M92" s="242"/>
      <c r="N92" s="242"/>
      <c r="O92" s="242"/>
      <c r="P92" s="242"/>
      <c r="Q92" s="242"/>
      <c r="R92" s="242"/>
      <c r="S92" s="242"/>
      <c r="T92" s="242"/>
      <c r="U92" s="242"/>
      <c r="V92" s="242"/>
      <c r="W92" s="242"/>
      <c r="X92" s="242"/>
      <c r="Y92" s="242"/>
    </row>
    <row r="93" spans="1:25" ht="15.75" customHeight="1">
      <c r="A93" s="242"/>
      <c r="B93" s="242"/>
      <c r="C93" s="242"/>
      <c r="D93" s="242"/>
      <c r="E93" s="242"/>
      <c r="F93" s="242"/>
      <c r="G93" s="242"/>
      <c r="H93" s="242"/>
      <c r="I93" s="242"/>
      <c r="J93" s="242"/>
      <c r="K93" s="242"/>
      <c r="L93" s="242"/>
      <c r="M93" s="242"/>
      <c r="N93" s="242"/>
      <c r="O93" s="242"/>
      <c r="P93" s="242"/>
      <c r="Q93" s="242"/>
      <c r="R93" s="242"/>
      <c r="S93" s="242"/>
      <c r="T93" s="242"/>
      <c r="U93" s="242"/>
      <c r="V93" s="242"/>
      <c r="W93" s="242"/>
      <c r="X93" s="242"/>
      <c r="Y93" s="242"/>
    </row>
    <row r="94" spans="1:25" ht="15.75" customHeight="1">
      <c r="A94" s="242"/>
      <c r="B94" s="242"/>
      <c r="C94" s="242"/>
      <c r="D94" s="242"/>
      <c r="E94" s="242"/>
      <c r="F94" s="242"/>
      <c r="G94" s="242"/>
      <c r="H94" s="242"/>
      <c r="I94" s="242"/>
      <c r="J94" s="242"/>
      <c r="K94" s="242"/>
      <c r="L94" s="242"/>
      <c r="M94" s="242"/>
      <c r="N94" s="242"/>
      <c r="O94" s="242"/>
      <c r="P94" s="242"/>
      <c r="Q94" s="242"/>
      <c r="R94" s="242"/>
      <c r="S94" s="242"/>
      <c r="T94" s="242"/>
      <c r="U94" s="242"/>
      <c r="V94" s="242"/>
      <c r="W94" s="242"/>
      <c r="X94" s="242"/>
      <c r="Y94" s="242"/>
    </row>
    <row r="95" spans="1:25" ht="15.75" customHeight="1">
      <c r="A95" s="242"/>
      <c r="B95" s="242"/>
      <c r="C95" s="242"/>
      <c r="D95" s="242"/>
      <c r="E95" s="242"/>
      <c r="F95" s="242"/>
      <c r="G95" s="242"/>
      <c r="H95" s="242"/>
      <c r="I95" s="242"/>
      <c r="J95" s="242"/>
      <c r="K95" s="242"/>
      <c r="L95" s="242"/>
      <c r="M95" s="242"/>
      <c r="N95" s="242"/>
      <c r="O95" s="242"/>
      <c r="P95" s="242"/>
      <c r="Q95" s="242"/>
      <c r="R95" s="242"/>
      <c r="S95" s="242"/>
      <c r="T95" s="242"/>
      <c r="U95" s="242"/>
      <c r="V95" s="242"/>
      <c r="W95" s="242"/>
      <c r="X95" s="242"/>
      <c r="Y95" s="242"/>
    </row>
    <row r="96" spans="1:25" ht="15.75" customHeight="1">
      <c r="A96" s="242"/>
      <c r="B96" s="242"/>
      <c r="C96" s="242"/>
      <c r="D96" s="242"/>
      <c r="E96" s="242"/>
      <c r="F96" s="242"/>
      <c r="G96" s="242"/>
      <c r="H96" s="242"/>
      <c r="I96" s="242"/>
      <c r="J96" s="242"/>
      <c r="K96" s="242"/>
      <c r="L96" s="242"/>
      <c r="M96" s="242"/>
      <c r="N96" s="242"/>
      <c r="O96" s="242"/>
      <c r="P96" s="242"/>
      <c r="Q96" s="242"/>
      <c r="R96" s="242"/>
      <c r="S96" s="242"/>
      <c r="T96" s="242"/>
      <c r="U96" s="242"/>
      <c r="V96" s="242"/>
      <c r="W96" s="242"/>
      <c r="X96" s="242"/>
      <c r="Y96" s="242"/>
    </row>
    <row r="131" spans="1:25" ht="15.75" customHeight="1">
      <c r="A131" s="263" t="s">
        <v>332</v>
      </c>
      <c r="B131" s="263"/>
      <c r="C131" s="263"/>
      <c r="D131" s="263"/>
      <c r="E131" s="263"/>
      <c r="F131" s="263" t="s">
        <v>333</v>
      </c>
      <c r="G131" s="263"/>
      <c r="H131" s="263"/>
      <c r="I131" s="263"/>
      <c r="J131" s="263"/>
      <c r="K131" s="263"/>
      <c r="L131" s="263"/>
      <c r="M131" s="263"/>
      <c r="N131" s="263" t="s">
        <v>334</v>
      </c>
      <c r="O131" s="263"/>
      <c r="P131" s="263"/>
      <c r="Q131" s="263"/>
      <c r="R131" s="263"/>
      <c r="S131" s="263"/>
      <c r="T131" s="263"/>
      <c r="U131" s="263"/>
      <c r="V131" s="263" t="s">
        <v>335</v>
      </c>
      <c r="W131" s="263"/>
      <c r="X131" s="263"/>
      <c r="Y131" s="263"/>
    </row>
    <row r="132" spans="1:25" ht="15.75" customHeight="1">
      <c r="A132" s="264" t="s">
        <v>336</v>
      </c>
      <c r="B132" s="264"/>
      <c r="C132" s="264"/>
      <c r="D132" s="264"/>
      <c r="E132" s="264"/>
      <c r="F132" s="264" t="s">
        <v>339</v>
      </c>
      <c r="G132" s="264"/>
      <c r="H132" s="264"/>
      <c r="I132" s="264"/>
      <c r="J132" s="264"/>
      <c r="K132" s="264"/>
      <c r="L132" s="264"/>
      <c r="M132" s="264"/>
      <c r="N132" s="264" t="s">
        <v>340</v>
      </c>
      <c r="O132" s="264"/>
      <c r="P132" s="264"/>
      <c r="Q132" s="264"/>
      <c r="R132" s="264"/>
      <c r="S132" s="264"/>
      <c r="T132" s="264"/>
      <c r="U132" s="264"/>
      <c r="V132" s="264" t="s">
        <v>340</v>
      </c>
      <c r="W132" s="264"/>
      <c r="X132" s="264"/>
      <c r="Y132" s="264"/>
    </row>
  </sheetData>
  <sheetProtection password="E0B2" sheet="1" objects="1" scenarios="1" selectLockedCells="1"/>
  <mergeCells count="41">
    <mergeCell ref="D69:W69"/>
    <mergeCell ref="A47:Y53"/>
    <mergeCell ref="B35:Y36"/>
    <mergeCell ref="B38:Y40"/>
    <mergeCell ref="B42:Y44"/>
    <mergeCell ref="A20:Y25"/>
    <mergeCell ref="A27:Y29"/>
    <mergeCell ref="A131:E131"/>
    <mergeCell ref="F131:M131"/>
    <mergeCell ref="N131:U131"/>
    <mergeCell ref="V131:Y131"/>
    <mergeCell ref="A132:E132"/>
    <mergeCell ref="F132:M132"/>
    <mergeCell ref="N132:U132"/>
    <mergeCell ref="V132:Y132"/>
    <mergeCell ref="A1:Y1"/>
    <mergeCell ref="A2:Y2"/>
    <mergeCell ref="A7:Y9"/>
    <mergeCell ref="C15:X15"/>
    <mergeCell ref="C13:F13"/>
    <mergeCell ref="G13:J13"/>
    <mergeCell ref="K13:N13"/>
    <mergeCell ref="O13:T13"/>
    <mergeCell ref="U13:X13"/>
    <mergeCell ref="C14:F14"/>
    <mergeCell ref="G14:J14"/>
    <mergeCell ref="K14:N14"/>
    <mergeCell ref="O14:T14"/>
    <mergeCell ref="U14:X14"/>
    <mergeCell ref="C11:X11"/>
    <mergeCell ref="C12:F12"/>
    <mergeCell ref="A83:Y84"/>
    <mergeCell ref="A86:Y87"/>
    <mergeCell ref="A89:Y90"/>
    <mergeCell ref="A92:Y96"/>
    <mergeCell ref="G12:J12"/>
    <mergeCell ref="K12:N12"/>
    <mergeCell ref="O12:T12"/>
    <mergeCell ref="U12:X12"/>
    <mergeCell ref="A74:Y81"/>
    <mergeCell ref="B31:Y3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N49"/>
  <sheetViews>
    <sheetView showGridLines="0" view="pageBreakPreview" zoomScaleNormal="100" zoomScaleSheetLayoutView="100" workbookViewId="0">
      <selection activeCell="E5" sqref="E5"/>
    </sheetView>
  </sheetViews>
  <sheetFormatPr defaultRowHeight="15" customHeight="1"/>
  <cols>
    <col min="1" max="2" width="1.42578125" style="3" customWidth="1"/>
    <col min="3" max="3" width="31.42578125" style="3" customWidth="1"/>
    <col min="4" max="4" width="5" style="3" customWidth="1"/>
    <col min="5" max="5" width="9.5703125" style="3" customWidth="1"/>
    <col min="6" max="6" width="7.140625" style="3" customWidth="1"/>
    <col min="7" max="7" width="6.42578125" style="3" customWidth="1"/>
    <col min="8" max="8" width="2.140625" style="3" customWidth="1"/>
    <col min="9" max="9" width="32.140625" style="3" customWidth="1"/>
    <col min="10" max="10" width="1.42578125" style="3" customWidth="1"/>
    <col min="11" max="11" width="2.140625" style="3" customWidth="1"/>
    <col min="12" max="12" width="35.7109375" style="3" customWidth="1"/>
    <col min="13" max="13" width="10" style="3" customWidth="1"/>
    <col min="14" max="16384" width="9.140625" style="3"/>
  </cols>
  <sheetData>
    <row r="1" spans="1:14" ht="30" customHeight="1">
      <c r="A1" s="268" t="s">
        <v>260</v>
      </c>
      <c r="B1" s="268"/>
      <c r="C1" s="268"/>
      <c r="D1" s="268"/>
      <c r="E1" s="268"/>
      <c r="F1" s="268"/>
      <c r="G1" s="268"/>
      <c r="H1" s="268"/>
      <c r="I1" s="268"/>
      <c r="J1" s="268"/>
      <c r="K1" s="5"/>
      <c r="L1" s="6"/>
      <c r="M1" s="7"/>
      <c r="N1" s="7"/>
    </row>
    <row r="2" spans="1:14" ht="15" customHeight="1">
      <c r="A2" s="4"/>
      <c r="B2" s="4"/>
      <c r="C2" s="4"/>
      <c r="D2" s="4"/>
      <c r="E2" s="4"/>
      <c r="F2" s="4"/>
      <c r="G2" s="4"/>
      <c r="H2" s="4"/>
      <c r="I2" s="8"/>
      <c r="J2" s="4"/>
      <c r="K2" s="4"/>
      <c r="L2" s="202" t="s">
        <v>321</v>
      </c>
    </row>
    <row r="3" spans="1:14" ht="15" customHeight="1">
      <c r="A3" s="9"/>
      <c r="B3" s="10" t="s">
        <v>2</v>
      </c>
      <c r="E3" s="9"/>
      <c r="F3" s="9"/>
      <c r="G3" s="11"/>
      <c r="H3" s="11"/>
      <c r="I3" s="102" t="s">
        <v>9</v>
      </c>
      <c r="J3" s="12"/>
      <c r="K3" s="12"/>
      <c r="L3" s="203">
        <v>40443</v>
      </c>
    </row>
    <row r="4" spans="1:14" ht="15" customHeight="1">
      <c r="A4" s="9"/>
      <c r="B4" s="103" t="s">
        <v>262</v>
      </c>
      <c r="D4" s="32"/>
      <c r="E4" s="112"/>
      <c r="F4" s="109"/>
      <c r="G4" s="115"/>
      <c r="H4" s="11"/>
      <c r="I4" s="104" t="s">
        <v>305</v>
      </c>
      <c r="J4" s="15"/>
      <c r="K4" s="15"/>
    </row>
    <row r="5" spans="1:14" ht="15" customHeight="1">
      <c r="A5" s="9"/>
      <c r="C5" s="3" t="s">
        <v>264</v>
      </c>
      <c r="D5" s="110" t="s">
        <v>265</v>
      </c>
      <c r="E5" s="301">
        <v>20.7</v>
      </c>
      <c r="F5" s="111" t="s">
        <v>39</v>
      </c>
      <c r="G5" s="108" t="s">
        <v>13</v>
      </c>
      <c r="I5" s="194"/>
      <c r="J5" s="16"/>
      <c r="K5" s="16"/>
      <c r="L5" s="13" t="s">
        <v>5</v>
      </c>
    </row>
    <row r="6" spans="1:14" ht="15" customHeight="1">
      <c r="A6" s="9"/>
      <c r="C6" s="109" t="s">
        <v>266</v>
      </c>
      <c r="D6" s="110" t="s">
        <v>267</v>
      </c>
      <c r="E6" s="302">
        <v>25</v>
      </c>
      <c r="F6" s="111" t="s">
        <v>268</v>
      </c>
      <c r="G6" s="119" t="s">
        <v>41</v>
      </c>
      <c r="H6" s="11"/>
      <c r="J6" s="12"/>
      <c r="K6" s="12"/>
      <c r="L6" s="204" t="s">
        <v>322</v>
      </c>
      <c r="M6" s="205" t="s">
        <v>323</v>
      </c>
      <c r="N6" s="205" t="s">
        <v>324</v>
      </c>
    </row>
    <row r="7" spans="1:14" ht="15" customHeight="1">
      <c r="A7" s="9"/>
      <c r="C7" s="3" t="s">
        <v>299</v>
      </c>
      <c r="D7" s="106" t="s">
        <v>261</v>
      </c>
      <c r="E7" s="303">
        <v>66</v>
      </c>
      <c r="F7" s="17" t="s">
        <v>36</v>
      </c>
      <c r="G7" s="119" t="s">
        <v>41</v>
      </c>
      <c r="H7" s="11"/>
      <c r="J7" s="15"/>
      <c r="K7" s="15"/>
      <c r="L7" s="206" t="s">
        <v>325</v>
      </c>
      <c r="M7" s="210">
        <f>E33/E13</f>
        <v>0.58570970569175917</v>
      </c>
      <c r="N7" s="207">
        <f>M7</f>
        <v>0.58570970569175917</v>
      </c>
    </row>
    <row r="8" spans="1:14" ht="15" customHeight="1">
      <c r="A8" s="9"/>
      <c r="B8" s="204" t="s">
        <v>351</v>
      </c>
      <c r="C8" s="204"/>
      <c r="H8" s="18"/>
      <c r="J8" s="12"/>
      <c r="K8" s="12"/>
      <c r="L8" s="206" t="s">
        <v>326</v>
      </c>
      <c r="M8" s="208">
        <f>M10*3413/1000000</f>
        <v>23.692470676933844</v>
      </c>
      <c r="N8" s="209">
        <f t="shared" ref="N8:N13" si="0">ROUND(M8,3-(1+INT(LOG10(ABS(M8)))))</f>
        <v>23.7</v>
      </c>
    </row>
    <row r="9" spans="1:14" ht="15" customHeight="1">
      <c r="A9" s="9"/>
      <c r="C9" s="3" t="s">
        <v>346</v>
      </c>
      <c r="D9" s="32" t="s">
        <v>348</v>
      </c>
      <c r="E9" s="301">
        <v>300</v>
      </c>
      <c r="F9" s="17" t="s">
        <v>34</v>
      </c>
      <c r="G9" s="119" t="s">
        <v>41</v>
      </c>
      <c r="H9" s="9"/>
      <c r="I9" s="104" t="s">
        <v>354</v>
      </c>
      <c r="J9" s="16"/>
      <c r="K9" s="16"/>
      <c r="L9" s="206" t="s">
        <v>327</v>
      </c>
      <c r="M9" s="208">
        <f>M8*10</f>
        <v>236.92470676933846</v>
      </c>
      <c r="N9" s="209">
        <f t="shared" si="0"/>
        <v>237</v>
      </c>
    </row>
    <row r="10" spans="1:14" ht="15" customHeight="1">
      <c r="A10" s="9"/>
      <c r="C10" s="3" t="s">
        <v>347</v>
      </c>
      <c r="D10" s="32" t="s">
        <v>349</v>
      </c>
      <c r="E10" s="301">
        <v>6.4</v>
      </c>
      <c r="F10" s="17" t="s">
        <v>35</v>
      </c>
      <c r="G10" s="119" t="s">
        <v>41</v>
      </c>
      <c r="H10" s="9"/>
      <c r="J10" s="12"/>
      <c r="K10" s="12"/>
      <c r="L10" s="206" t="s">
        <v>328</v>
      </c>
      <c r="M10" s="208">
        <f>E33</f>
        <v>6941.83143185873</v>
      </c>
      <c r="N10" s="209">
        <f t="shared" si="0"/>
        <v>6940</v>
      </c>
    </row>
    <row r="11" spans="1:14" ht="15" customHeight="1">
      <c r="A11" s="9"/>
      <c r="C11" s="3" t="s">
        <v>350</v>
      </c>
      <c r="D11" s="32" t="s">
        <v>352</v>
      </c>
      <c r="E11" s="304">
        <v>1100</v>
      </c>
      <c r="F11" s="17" t="s">
        <v>37</v>
      </c>
      <c r="G11" s="119" t="s">
        <v>41</v>
      </c>
      <c r="H11" s="9"/>
      <c r="J11" s="15"/>
      <c r="K11" s="15"/>
      <c r="L11" s="206" t="s">
        <v>329</v>
      </c>
      <c r="M11" s="208">
        <f>E42</f>
        <v>483.7762324862349</v>
      </c>
      <c r="N11" s="209">
        <f t="shared" si="0"/>
        <v>484</v>
      </c>
    </row>
    <row r="12" spans="1:14" ht="15" customHeight="1">
      <c r="A12" s="9"/>
      <c r="B12" s="103" t="s">
        <v>344</v>
      </c>
      <c r="H12" s="9"/>
      <c r="I12" s="104" t="s">
        <v>353</v>
      </c>
      <c r="J12" s="12"/>
      <c r="K12" s="12"/>
      <c r="L12" s="206" t="s">
        <v>330</v>
      </c>
      <c r="M12" s="208">
        <f ca="1">E43</f>
        <v>5230</v>
      </c>
      <c r="N12" s="209">
        <f t="shared" ca="1" si="0"/>
        <v>5230</v>
      </c>
    </row>
    <row r="13" spans="1:14" ht="15" customHeight="1">
      <c r="A13" s="9"/>
      <c r="C13" s="109" t="s">
        <v>263</v>
      </c>
      <c r="D13" s="110" t="s">
        <v>16</v>
      </c>
      <c r="E13" s="305">
        <v>11852</v>
      </c>
      <c r="F13" s="111" t="s">
        <v>21</v>
      </c>
      <c r="G13" s="108" t="s">
        <v>42</v>
      </c>
      <c r="H13" s="9"/>
      <c r="J13" s="22"/>
      <c r="L13" s="206" t="s">
        <v>331</v>
      </c>
      <c r="M13" s="208">
        <f ca="1">E44</f>
        <v>10.81078326878907</v>
      </c>
      <c r="N13" s="209">
        <f t="shared" ca="1" si="0"/>
        <v>10.8</v>
      </c>
    </row>
    <row r="14" spans="1:14" ht="15" customHeight="1">
      <c r="A14" s="9"/>
      <c r="B14" s="103" t="s">
        <v>269</v>
      </c>
      <c r="D14" s="32"/>
      <c r="E14" s="112"/>
      <c r="F14" s="109"/>
      <c r="G14" s="115"/>
      <c r="H14" s="9"/>
      <c r="I14" s="194"/>
      <c r="J14" s="12"/>
    </row>
    <row r="15" spans="1:14" ht="15" customHeight="1">
      <c r="A15" s="9"/>
      <c r="C15" s="105" t="s">
        <v>270</v>
      </c>
      <c r="D15" s="106" t="s">
        <v>271</v>
      </c>
      <c r="E15" s="306">
        <v>6.9690000000000002E-2</v>
      </c>
      <c r="F15" s="107" t="s">
        <v>272</v>
      </c>
      <c r="G15" s="108" t="s">
        <v>42</v>
      </c>
      <c r="H15" s="9"/>
      <c r="I15" s="104" t="s">
        <v>309</v>
      </c>
      <c r="J15" s="15"/>
      <c r="L15" s="1"/>
      <c r="M15" s="19"/>
    </row>
    <row r="16" spans="1:14" ht="15" customHeight="1">
      <c r="A16" s="9"/>
      <c r="H16" s="9"/>
      <c r="J16" s="12"/>
    </row>
    <row r="17" spans="1:12" ht="15" customHeight="1">
      <c r="A17" s="9"/>
      <c r="B17" s="10" t="s">
        <v>0</v>
      </c>
      <c r="D17" s="32"/>
      <c r="E17" s="117"/>
      <c r="F17" s="14"/>
      <c r="G17" s="9"/>
      <c r="H17" s="9"/>
      <c r="J17" s="22"/>
    </row>
    <row r="18" spans="1:12" ht="15" customHeight="1">
      <c r="A18" s="9"/>
      <c r="B18" s="103" t="s">
        <v>52</v>
      </c>
      <c r="D18" s="32"/>
      <c r="E18" s="28"/>
      <c r="H18" s="9"/>
      <c r="J18" s="12"/>
    </row>
    <row r="19" spans="1:12" ht="15" customHeight="1">
      <c r="A19" s="9"/>
      <c r="C19" s="105" t="s">
        <v>273</v>
      </c>
      <c r="D19" s="106" t="s">
        <v>274</v>
      </c>
      <c r="E19" s="302">
        <v>140</v>
      </c>
      <c r="F19" s="109"/>
      <c r="G19" s="119" t="s">
        <v>51</v>
      </c>
      <c r="H19" s="12"/>
      <c r="I19" s="104" t="s">
        <v>306</v>
      </c>
      <c r="J19" s="15"/>
    </row>
    <row r="20" spans="1:12" ht="15" customHeight="1">
      <c r="A20" s="9"/>
      <c r="B20" s="103" t="s">
        <v>11</v>
      </c>
      <c r="C20" s="20"/>
      <c r="D20" s="33"/>
      <c r="E20" s="112"/>
      <c r="F20" s="109"/>
      <c r="G20" s="115"/>
      <c r="H20" s="9"/>
      <c r="I20" s="116"/>
      <c r="J20" s="12"/>
    </row>
    <row r="21" spans="1:12" ht="15" customHeight="1">
      <c r="A21" s="9"/>
      <c r="C21" s="120" t="s">
        <v>38</v>
      </c>
      <c r="D21" s="121" t="s">
        <v>14</v>
      </c>
      <c r="E21" s="23">
        <v>0.43353000000000003</v>
      </c>
      <c r="F21" s="107" t="s">
        <v>276</v>
      </c>
      <c r="G21" s="119"/>
      <c r="H21" s="24"/>
      <c r="J21" s="12"/>
    </row>
    <row r="22" spans="1:12" ht="15" customHeight="1">
      <c r="A22" s="9"/>
      <c r="H22" s="24"/>
      <c r="I22" s="104" t="s">
        <v>307</v>
      </c>
      <c r="J22" s="22"/>
    </row>
    <row r="23" spans="1:12" ht="15" customHeight="1">
      <c r="A23" s="9"/>
      <c r="B23" s="10" t="s">
        <v>277</v>
      </c>
      <c r="D23" s="32"/>
      <c r="E23" s="28"/>
      <c r="G23" s="19"/>
      <c r="H23" s="24"/>
      <c r="I23" s="104"/>
      <c r="J23" s="22"/>
    </row>
    <row r="24" spans="1:12" ht="15" customHeight="1">
      <c r="A24" s="9"/>
      <c r="B24" s="103" t="s">
        <v>278</v>
      </c>
      <c r="D24" s="32"/>
      <c r="E24" s="112"/>
      <c r="F24" s="109"/>
      <c r="G24" s="21"/>
      <c r="H24" s="24"/>
      <c r="J24" s="25"/>
      <c r="L24" s="202"/>
    </row>
    <row r="25" spans="1:12" ht="15" customHeight="1">
      <c r="C25" s="105" t="s">
        <v>301</v>
      </c>
      <c r="D25" s="106" t="s">
        <v>279</v>
      </c>
      <c r="E25" s="193">
        <f>(0.2083*(100/E19)^1.852*E9^1.852/(E10)^4.8655)*0.43353*(E11/100)</f>
        <v>2.4639499914713459</v>
      </c>
      <c r="F25" s="109" t="s">
        <v>36</v>
      </c>
      <c r="G25" s="108" t="s">
        <v>43</v>
      </c>
      <c r="H25" s="24"/>
      <c r="I25" s="104" t="s">
        <v>308</v>
      </c>
      <c r="J25" s="12"/>
    </row>
    <row r="26" spans="1:12" ht="15" customHeight="1">
      <c r="B26" s="103" t="s">
        <v>280</v>
      </c>
      <c r="D26" s="32"/>
      <c r="E26" s="112"/>
      <c r="F26" s="109"/>
      <c r="H26" s="26"/>
      <c r="I26" s="195"/>
      <c r="J26" s="22"/>
    </row>
    <row r="27" spans="1:12" ht="15" customHeight="1">
      <c r="A27" s="9"/>
      <c r="C27" s="3" t="s">
        <v>282</v>
      </c>
      <c r="D27" s="106" t="s">
        <v>281</v>
      </c>
      <c r="E27" s="37">
        <f>E7+E25</f>
        <v>68.463949991471353</v>
      </c>
      <c r="F27" s="3" t="s">
        <v>36</v>
      </c>
      <c r="G27" s="108" t="s">
        <v>44</v>
      </c>
      <c r="H27" s="26"/>
      <c r="I27" s="104"/>
      <c r="J27" s="25"/>
      <c r="L27" s="28"/>
    </row>
    <row r="28" spans="1:12" ht="15" customHeight="1">
      <c r="C28" s="105" t="s">
        <v>300</v>
      </c>
      <c r="D28" s="110" t="s">
        <v>275</v>
      </c>
      <c r="E28" s="122">
        <v>25.9</v>
      </c>
      <c r="F28" s="109" t="s">
        <v>36</v>
      </c>
      <c r="G28" s="108" t="s">
        <v>302</v>
      </c>
      <c r="H28" s="24"/>
      <c r="J28" s="12"/>
      <c r="L28" s="28"/>
    </row>
    <row r="29" spans="1:12" ht="15" customHeight="1">
      <c r="C29" s="3" t="s">
        <v>283</v>
      </c>
      <c r="D29" s="106" t="s">
        <v>284</v>
      </c>
      <c r="E29" s="37">
        <f>E28+E25</f>
        <v>28.363949991471344</v>
      </c>
      <c r="F29" s="3" t="s">
        <v>36</v>
      </c>
      <c r="G29" s="108" t="s">
        <v>46</v>
      </c>
      <c r="H29" s="24"/>
      <c r="I29" s="118" t="s">
        <v>15</v>
      </c>
      <c r="J29" s="22"/>
    </row>
    <row r="30" spans="1:12" ht="15" customHeight="1">
      <c r="H30" s="26"/>
      <c r="I30" s="269" t="s">
        <v>319</v>
      </c>
      <c r="J30" s="25"/>
    </row>
    <row r="31" spans="1:12" ht="15" customHeight="1">
      <c r="A31" s="9"/>
      <c r="B31" s="102" t="s">
        <v>4</v>
      </c>
      <c r="D31" s="32"/>
      <c r="H31" s="27"/>
      <c r="I31" s="269"/>
      <c r="J31" s="12"/>
    </row>
    <row r="32" spans="1:12" ht="15" customHeight="1">
      <c r="A32" s="9"/>
      <c r="C32" s="109" t="s">
        <v>285</v>
      </c>
      <c r="D32" s="110" t="s">
        <v>286</v>
      </c>
      <c r="E32" s="114">
        <f>(E29/E27)*E13</f>
        <v>4910.16856814127</v>
      </c>
      <c r="F32" s="111" t="s">
        <v>21</v>
      </c>
      <c r="G32" s="108" t="s">
        <v>47</v>
      </c>
      <c r="H32" s="24"/>
      <c r="I32" s="269" t="s">
        <v>318</v>
      </c>
      <c r="J32" s="16"/>
      <c r="L32" s="31"/>
    </row>
    <row r="33" spans="1:10" ht="15" customHeight="1">
      <c r="A33" s="9"/>
      <c r="C33" s="120" t="s">
        <v>10</v>
      </c>
      <c r="D33" s="121" t="s">
        <v>17</v>
      </c>
      <c r="E33" s="114">
        <f>E13-E32</f>
        <v>6941.83143185873</v>
      </c>
      <c r="F33" s="124" t="s">
        <v>21</v>
      </c>
      <c r="G33" s="108" t="s">
        <v>303</v>
      </c>
      <c r="H33" s="24"/>
      <c r="I33" s="269"/>
      <c r="J33" s="25"/>
    </row>
    <row r="34" spans="1:10" ht="15" customHeight="1">
      <c r="A34" s="9"/>
      <c r="H34" s="24"/>
      <c r="I34" s="269"/>
      <c r="J34" s="12"/>
    </row>
    <row r="35" spans="1:10" ht="15" customHeight="1">
      <c r="A35" s="9"/>
      <c r="B35" s="102" t="s">
        <v>8</v>
      </c>
      <c r="D35" s="32"/>
      <c r="E35" s="125"/>
      <c r="F35" s="105"/>
      <c r="G35" s="113"/>
      <c r="H35" s="12"/>
      <c r="I35" s="267" t="s">
        <v>304</v>
      </c>
      <c r="J35" s="12"/>
    </row>
    <row r="36" spans="1:10" ht="15" customHeight="1">
      <c r="B36" s="103" t="s">
        <v>287</v>
      </c>
      <c r="D36" s="32"/>
      <c r="E36" s="112"/>
      <c r="F36" s="109"/>
      <c r="G36" s="115"/>
      <c r="H36" s="12"/>
      <c r="I36" s="267"/>
      <c r="J36" s="12"/>
    </row>
    <row r="37" spans="1:10" ht="15" customHeight="1">
      <c r="A37" s="9"/>
      <c r="C37" s="120" t="s">
        <v>287</v>
      </c>
      <c r="D37" s="121" t="s">
        <v>288</v>
      </c>
      <c r="E37" s="126">
        <f ca="1">'VSD Cost Estimate'!H2</f>
        <v>2330</v>
      </c>
      <c r="F37" s="107"/>
      <c r="G37" s="119" t="s">
        <v>49</v>
      </c>
      <c r="I37" s="267"/>
    </row>
    <row r="38" spans="1:10" ht="15" customHeight="1">
      <c r="A38" s="9"/>
      <c r="C38" s="3" t="s">
        <v>289</v>
      </c>
      <c r="D38" s="121" t="s">
        <v>290</v>
      </c>
      <c r="E38" s="29">
        <f ca="1">'VSD Cost Estimate'!I2</f>
        <v>1900</v>
      </c>
      <c r="G38" s="119" t="s">
        <v>49</v>
      </c>
      <c r="I38" s="130"/>
      <c r="J38" s="30"/>
    </row>
    <row r="39" spans="1:10" ht="15" customHeight="1">
      <c r="A39" s="9"/>
      <c r="C39" s="120" t="s">
        <v>291</v>
      </c>
      <c r="D39" s="121" t="s">
        <v>292</v>
      </c>
      <c r="E39" s="126">
        <f ca="1">'VSD Cost Estimate'!J2</f>
        <v>1000</v>
      </c>
      <c r="F39" s="107"/>
      <c r="G39" s="119" t="s">
        <v>49</v>
      </c>
      <c r="I39" s="102" t="s">
        <v>45</v>
      </c>
      <c r="J39" s="30"/>
    </row>
    <row r="40" spans="1:10" ht="15" customHeight="1">
      <c r="A40" s="9"/>
      <c r="I40" s="271" t="s">
        <v>355</v>
      </c>
      <c r="J40" s="30"/>
    </row>
    <row r="41" spans="1:10" ht="15" customHeight="1">
      <c r="A41" s="9"/>
      <c r="B41" s="102" t="s">
        <v>1</v>
      </c>
      <c r="D41" s="32"/>
      <c r="E41" s="127"/>
      <c r="F41" s="107"/>
      <c r="G41" s="128"/>
      <c r="I41" s="271"/>
      <c r="J41" s="30"/>
    </row>
    <row r="42" spans="1:10" ht="15" customHeight="1">
      <c r="C42" s="105" t="s">
        <v>6</v>
      </c>
      <c r="D42" s="106" t="s">
        <v>18</v>
      </c>
      <c r="E42" s="126">
        <f>E33*E15</f>
        <v>483.7762324862349</v>
      </c>
      <c r="F42" s="107"/>
      <c r="G42" s="119" t="s">
        <v>3</v>
      </c>
      <c r="I42" s="271"/>
      <c r="J42" s="30"/>
    </row>
    <row r="43" spans="1:10" ht="15" customHeight="1">
      <c r="C43" s="105" t="s">
        <v>12</v>
      </c>
      <c r="D43" s="106" t="s">
        <v>19</v>
      </c>
      <c r="E43" s="126">
        <f ca="1">E37+E38+E39</f>
        <v>5230</v>
      </c>
      <c r="F43" s="107"/>
      <c r="G43" s="119" t="s">
        <v>48</v>
      </c>
      <c r="I43" s="123" t="s">
        <v>356</v>
      </c>
      <c r="J43" s="4"/>
    </row>
    <row r="44" spans="1:10" ht="15" customHeight="1">
      <c r="C44" s="105" t="s">
        <v>7</v>
      </c>
      <c r="D44" s="106" t="s">
        <v>20</v>
      </c>
      <c r="E44" s="129">
        <f ca="1">E43/E42</f>
        <v>10.81078326878907</v>
      </c>
      <c r="F44" s="107" t="s">
        <v>293</v>
      </c>
      <c r="G44" s="119"/>
      <c r="I44" s="270" t="s">
        <v>343</v>
      </c>
      <c r="J44" s="4"/>
    </row>
    <row r="45" spans="1:10" ht="15" customHeight="1">
      <c r="I45" s="270"/>
      <c r="J45" s="4"/>
    </row>
    <row r="47" spans="1:10" ht="15" customHeight="1">
      <c r="A47" s="9"/>
    </row>
    <row r="48" spans="1:10" ht="15" customHeight="1">
      <c r="A48" s="9"/>
    </row>
    <row r="49" spans="1:1" ht="15" customHeight="1">
      <c r="A49" s="9"/>
    </row>
  </sheetData>
  <sheetProtection password="E0B2" sheet="1" objects="1" scenarios="1" selectLockedCells="1"/>
  <mergeCells count="6">
    <mergeCell ref="I35:I37"/>
    <mergeCell ref="A1:J1"/>
    <mergeCell ref="I30:I31"/>
    <mergeCell ref="I32:I34"/>
    <mergeCell ref="I44:I45"/>
    <mergeCell ref="I40:I42"/>
  </mergeCells>
  <printOptions horizontalCentered="1"/>
  <pageMargins left="0" right="0" top="0.5" bottom="0.5" header="0.51180555555555596" footer="0.51180555555555596"/>
  <pageSetup firstPageNumber="0" orientation="portrait" r:id="rId1"/>
  <headerFooter alignWithMargins="0"/>
  <colBreaks count="1" manualBreakCount="1">
    <brk id="10" max="1048575" man="1"/>
  </colBreaks>
  <drawing r:id="rId2"/>
  <legacyDrawing r:id="rId3"/>
  <oleObjects>
    <oleObject progId="Equation.DSMT4" shapeId="584727" r:id="rId4"/>
    <oleObject progId="Equation.DSMT4" shapeId="584730" r:id="rId5"/>
    <oleObject progId="Equation.DSMT4" shapeId="584731" r:id="rId6"/>
    <oleObject progId="Equation.DSMT4" shapeId="584732" r:id="rId7"/>
    <oleObject progId="Equation.DSMT4" shapeId="584733" r:id="rId8"/>
    <oleObject progId="Equation.DSMT4" shapeId="584738" r:id="rId9"/>
    <oleObject progId="Equation.DSMT4" shapeId="584741" r:id="rId10"/>
  </oleObjects>
</worksheet>
</file>

<file path=xl/worksheets/sheet3.xml><?xml version="1.0" encoding="utf-8"?>
<worksheet xmlns="http://schemas.openxmlformats.org/spreadsheetml/2006/main" xmlns:r="http://schemas.openxmlformats.org/officeDocument/2006/relationships">
  <dimension ref="B1:X169"/>
  <sheetViews>
    <sheetView showGridLines="0" view="pageBreakPreview" zoomScaleNormal="100" zoomScaleSheetLayoutView="100" workbookViewId="0">
      <selection activeCell="P1" sqref="P1"/>
    </sheetView>
  </sheetViews>
  <sheetFormatPr defaultRowHeight="15.75"/>
  <cols>
    <col min="1" max="1" width="1.42578125" style="2" customWidth="1"/>
    <col min="2" max="2" width="2.85546875" style="2" customWidth="1"/>
    <col min="3" max="3" width="3.5703125" style="2" customWidth="1"/>
    <col min="4" max="4" width="7.140625" style="2" customWidth="1"/>
    <col min="5" max="5" width="10" style="2" customWidth="1"/>
    <col min="6" max="6" width="7.28515625" style="2" customWidth="1"/>
    <col min="7" max="7" width="7.140625" style="2" customWidth="1"/>
    <col min="8" max="8" width="7" style="2" customWidth="1"/>
    <col min="9" max="9" width="7.140625" style="2" customWidth="1"/>
    <col min="10" max="10" width="10" style="2" customWidth="1"/>
    <col min="11" max="11" width="8.5703125" style="2" customWidth="1"/>
    <col min="12" max="12" width="7.140625" style="2" customWidth="1"/>
    <col min="13" max="14" width="8.5703125" style="2" customWidth="1"/>
    <col min="15" max="15" width="1.42578125" style="2" customWidth="1"/>
    <col min="16" max="23" width="10.7109375" style="2" customWidth="1"/>
    <col min="24" max="16384" width="9.140625" style="2"/>
  </cols>
  <sheetData>
    <row r="1" spans="2:23">
      <c r="B1" s="284" t="s">
        <v>172</v>
      </c>
      <c r="C1" s="285"/>
      <c r="D1" s="285"/>
      <c r="E1" s="285"/>
      <c r="F1" s="285"/>
      <c r="G1" s="285"/>
      <c r="H1" s="285"/>
      <c r="I1" s="285"/>
      <c r="J1" s="285"/>
      <c r="K1" s="285"/>
      <c r="L1" s="285"/>
      <c r="M1" s="285"/>
      <c r="N1" s="286"/>
    </row>
    <row r="2" spans="2:23" ht="15.75" customHeight="1">
      <c r="B2" s="288"/>
      <c r="C2" s="287" t="s">
        <v>62</v>
      </c>
      <c r="D2" s="287"/>
      <c r="E2" s="287"/>
      <c r="F2" s="287"/>
      <c r="G2" s="287"/>
      <c r="H2" s="135" t="s">
        <v>59</v>
      </c>
      <c r="I2" s="276" t="s">
        <v>61</v>
      </c>
      <c r="J2" s="277"/>
      <c r="K2" s="278"/>
      <c r="L2" s="276" t="s">
        <v>60</v>
      </c>
      <c r="M2" s="277"/>
      <c r="N2" s="278"/>
    </row>
    <row r="3" spans="2:23">
      <c r="B3" s="288"/>
      <c r="C3" s="136" t="s">
        <v>53</v>
      </c>
      <c r="D3" s="137" t="s">
        <v>54</v>
      </c>
      <c r="E3" s="235" t="s">
        <v>362</v>
      </c>
      <c r="F3" s="137" t="s">
        <v>55</v>
      </c>
      <c r="G3" s="138" t="s">
        <v>58</v>
      </c>
      <c r="H3" s="139" t="s">
        <v>55</v>
      </c>
      <c r="I3" s="136" t="s">
        <v>296</v>
      </c>
      <c r="J3" s="137" t="s">
        <v>297</v>
      </c>
      <c r="K3" s="138" t="s">
        <v>298</v>
      </c>
      <c r="L3" s="136" t="s">
        <v>56</v>
      </c>
      <c r="M3" s="137" t="s">
        <v>57</v>
      </c>
      <c r="N3" s="138" t="s">
        <v>171</v>
      </c>
    </row>
    <row r="4" spans="2:23">
      <c r="B4" s="288"/>
      <c r="C4" s="49" t="s">
        <v>64</v>
      </c>
      <c r="D4" s="50" t="s">
        <v>63</v>
      </c>
      <c r="E4" s="50" t="s">
        <v>63</v>
      </c>
      <c r="F4" s="50"/>
      <c r="G4" s="46"/>
      <c r="H4" s="47"/>
      <c r="I4" s="49" t="s">
        <v>65</v>
      </c>
      <c r="J4" s="50" t="s">
        <v>65</v>
      </c>
      <c r="K4" s="50" t="s">
        <v>65</v>
      </c>
      <c r="L4" s="49" t="s">
        <v>40</v>
      </c>
      <c r="M4" s="50" t="s">
        <v>40</v>
      </c>
      <c r="N4" s="46" t="s">
        <v>40</v>
      </c>
      <c r="O4" s="35"/>
    </row>
    <row r="5" spans="2:23" ht="14.25" hidden="1" customHeight="1">
      <c r="B5" s="236" t="s">
        <v>66</v>
      </c>
      <c r="C5" s="140">
        <v>0</v>
      </c>
      <c r="D5" s="141">
        <v>0</v>
      </c>
      <c r="E5" s="142"/>
      <c r="F5" s="142"/>
      <c r="G5" s="142"/>
      <c r="H5" s="142"/>
      <c r="I5" s="142">
        <f>'Current Pivot Conditions'!R8</f>
        <v>66</v>
      </c>
      <c r="J5" s="142"/>
      <c r="K5" s="142"/>
      <c r="L5" s="143"/>
      <c r="M5" s="142"/>
      <c r="N5" s="144">
        <f>'Current Pivot Conditions'!V8</f>
        <v>300</v>
      </c>
      <c r="O5" s="40"/>
    </row>
    <row r="6" spans="2:23">
      <c r="B6" s="297" t="s">
        <v>66</v>
      </c>
      <c r="C6" s="233">
        <v>1</v>
      </c>
      <c r="D6" s="237">
        <v>33.700000000000003</v>
      </c>
      <c r="E6" s="238">
        <f>D6-D5</f>
        <v>33.700000000000003</v>
      </c>
      <c r="F6" s="234" t="s">
        <v>67</v>
      </c>
      <c r="G6" s="234" t="s">
        <v>68</v>
      </c>
      <c r="H6" s="234" t="s">
        <v>89</v>
      </c>
      <c r="I6" s="238">
        <f ca="1">I5-K6</f>
        <v>65.925206407286211</v>
      </c>
      <c r="J6" s="238">
        <v>20</v>
      </c>
      <c r="K6" s="239">
        <f ca="1">(0.2083*(100/'Current Pivot Conditions'!$V$7)^1.852*N6^1.852/('Current Pivot Conditions'!$U$16)^4.8655)*0.43353*(E6/100)</f>
        <v>7.4793592713783483E-2</v>
      </c>
      <c r="L6" s="239">
        <f>((2*D6*'Current Pivot Conditions'!$V$8*E6)/(('Current Pivot Conditions'!$R$10+'Current Pivot Conditions'!$V$9)^2))</f>
        <v>1.3787972295122104</v>
      </c>
      <c r="M6" s="234">
        <f t="shared" ref="M6:M37" ca="1" si="0">INDEX(INDIRECT("Flow_"&amp;$R$12),MATCH(H6,INDIRECT("Nozzle_"&amp;$R$12),0),MATCH(J6,INDIRECT("Pressure_"&amp;$R$12),0))</f>
        <v>1.49</v>
      </c>
      <c r="N6" s="240">
        <f ca="1">N5-M6</f>
        <v>298.51</v>
      </c>
      <c r="O6" s="40"/>
      <c r="P6" s="284" t="s">
        <v>78</v>
      </c>
      <c r="Q6" s="285"/>
      <c r="R6" s="285"/>
      <c r="S6" s="285"/>
      <c r="T6" s="285"/>
      <c r="U6" s="285"/>
      <c r="V6" s="285"/>
      <c r="W6" s="286"/>
    </row>
    <row r="7" spans="2:23">
      <c r="B7" s="298"/>
      <c r="C7" s="151">
        <v>2</v>
      </c>
      <c r="D7" s="152">
        <v>51.5</v>
      </c>
      <c r="E7" s="153">
        <f t="shared" ref="E7:E51" si="1">D7-D6</f>
        <v>17.799999999999997</v>
      </c>
      <c r="F7" s="53" t="s">
        <v>67</v>
      </c>
      <c r="G7" s="53" t="s">
        <v>68</v>
      </c>
      <c r="H7" s="53" t="s">
        <v>89</v>
      </c>
      <c r="I7" s="153">
        <f t="shared" ref="I7:I13" ca="1" si="2">I6-K7</f>
        <v>65.886065602836382</v>
      </c>
      <c r="J7" s="153">
        <v>20</v>
      </c>
      <c r="K7" s="154">
        <f ca="1">(0.2083*(100/'Current Pivot Conditions'!$V$7)^1.852*N7^1.852/('Current Pivot Conditions'!$U$16)^4.8655)*0.43353*(E7/100)</f>
        <v>3.9140804449833561E-2</v>
      </c>
      <c r="L7" s="154">
        <f>((2*D7*'Current Pivot Conditions'!$V$8*E7)/(('Current Pivot Conditions'!$R$10+'Current Pivot Conditions'!$V$9)^2))</f>
        <v>1.1129299547357492</v>
      </c>
      <c r="M7" s="53">
        <f t="shared" ca="1" si="0"/>
        <v>1.49</v>
      </c>
      <c r="N7" s="155">
        <f t="shared" ref="N7:N22" ca="1" si="3">N6-M7</f>
        <v>297.02</v>
      </c>
      <c r="O7" s="40"/>
      <c r="P7" s="179" t="s">
        <v>69</v>
      </c>
      <c r="Q7" s="180"/>
      <c r="R7" s="181">
        <v>3</v>
      </c>
      <c r="S7" s="182"/>
      <c r="T7" s="179" t="s">
        <v>71</v>
      </c>
      <c r="U7" s="180"/>
      <c r="V7" s="291">
        <v>140</v>
      </c>
      <c r="W7" s="292"/>
    </row>
    <row r="8" spans="2:23">
      <c r="B8" s="298"/>
      <c r="C8" s="145">
        <v>3</v>
      </c>
      <c r="D8" s="146">
        <v>68.7</v>
      </c>
      <c r="E8" s="147">
        <f t="shared" si="1"/>
        <v>17.200000000000003</v>
      </c>
      <c r="F8" s="148" t="s">
        <v>67</v>
      </c>
      <c r="G8" s="148" t="s">
        <v>68</v>
      </c>
      <c r="H8" s="148" t="s">
        <v>89</v>
      </c>
      <c r="I8" s="147">
        <f t="shared" ca="1" si="2"/>
        <v>65.848594782438894</v>
      </c>
      <c r="J8" s="147">
        <v>20</v>
      </c>
      <c r="K8" s="149">
        <f ca="1">(0.2083*(100/'Current Pivot Conditions'!$V$7)^1.852*N8^1.852/('Current Pivot Conditions'!$U$16)^4.8655)*0.43353*(E8/100)</f>
        <v>3.7470820397489689E-2</v>
      </c>
      <c r="L8" s="149">
        <f>((2*D8*'Current Pivot Conditions'!$V$8*E8)/(('Current Pivot Conditions'!$R$10+'Current Pivot Conditions'!$V$9)^2))</f>
        <v>1.4345833442936089</v>
      </c>
      <c r="M8" s="148">
        <f t="shared" ca="1" si="0"/>
        <v>1.49</v>
      </c>
      <c r="N8" s="150">
        <f t="shared" ca="1" si="3"/>
        <v>295.52999999999997</v>
      </c>
      <c r="O8" s="40"/>
      <c r="P8" s="183" t="s">
        <v>258</v>
      </c>
      <c r="Q8" s="184"/>
      <c r="R8" s="185">
        <v>66</v>
      </c>
      <c r="S8" s="45" t="s">
        <v>36</v>
      </c>
      <c r="T8" s="183" t="s">
        <v>249</v>
      </c>
      <c r="U8" s="184"/>
      <c r="V8" s="185">
        <v>300</v>
      </c>
      <c r="W8" s="45" t="s">
        <v>34</v>
      </c>
    </row>
    <row r="9" spans="2:23">
      <c r="B9" s="298"/>
      <c r="C9" s="151">
        <v>4</v>
      </c>
      <c r="D9" s="152">
        <v>85.9</v>
      </c>
      <c r="E9" s="153">
        <f t="shared" si="1"/>
        <v>17.200000000000003</v>
      </c>
      <c r="F9" s="53" t="s">
        <v>67</v>
      </c>
      <c r="G9" s="53" t="s">
        <v>68</v>
      </c>
      <c r="H9" s="53" t="s">
        <v>90</v>
      </c>
      <c r="I9" s="153">
        <f t="shared" ca="1" si="2"/>
        <v>65.811531521416228</v>
      </c>
      <c r="J9" s="153">
        <v>20</v>
      </c>
      <c r="K9" s="154">
        <f ca="1">(0.2083*(100/'Current Pivot Conditions'!$V$7)^1.852*N9^1.852/('Current Pivot Conditions'!$U$16)^4.8655)*0.43353*(E9/100)</f>
        <v>3.7063261022665307E-2</v>
      </c>
      <c r="L9" s="154">
        <f>((2*D9*'Current Pivot Conditions'!$V$8*E9)/(('Current Pivot Conditions'!$R$10+'Current Pivot Conditions'!$V$9)^2))</f>
        <v>1.7937512267077291</v>
      </c>
      <c r="M9" s="53">
        <f t="shared" ca="1" si="0"/>
        <v>1.74</v>
      </c>
      <c r="N9" s="155">
        <f t="shared" ca="1" si="3"/>
        <v>293.78999999999996</v>
      </c>
      <c r="O9" s="40"/>
      <c r="P9" s="183" t="s">
        <v>72</v>
      </c>
      <c r="Q9" s="184"/>
      <c r="R9" s="186">
        <f>V8/((PI()*(R10+V9)^2)/43560)</f>
        <v>8.4168309210268877</v>
      </c>
      <c r="S9" s="45" t="s">
        <v>74</v>
      </c>
      <c r="T9" s="183" t="s">
        <v>250</v>
      </c>
      <c r="U9" s="184"/>
      <c r="V9" s="185">
        <v>96</v>
      </c>
      <c r="W9" s="45" t="s">
        <v>37</v>
      </c>
    </row>
    <row r="10" spans="2:23">
      <c r="B10" s="298"/>
      <c r="C10" s="145">
        <v>5</v>
      </c>
      <c r="D10" s="146">
        <v>103.3</v>
      </c>
      <c r="E10" s="147">
        <f t="shared" si="1"/>
        <v>17.399999999999991</v>
      </c>
      <c r="F10" s="148" t="s">
        <v>67</v>
      </c>
      <c r="G10" s="148" t="s">
        <v>68</v>
      </c>
      <c r="H10" s="148" t="s">
        <v>91</v>
      </c>
      <c r="I10" s="147">
        <f t="shared" ca="1" si="2"/>
        <v>65.774503934978853</v>
      </c>
      <c r="J10" s="147">
        <v>20</v>
      </c>
      <c r="K10" s="149">
        <f ca="1">(0.2083*(100/'Current Pivot Conditions'!$V$7)^1.852*N10^1.852/('Current Pivot Conditions'!$U$16)^4.8655)*0.43353*(E10/100)</f>
        <v>3.7027586437381875E-2</v>
      </c>
      <c r="L10" s="149">
        <f>((2*D10*'Current Pivot Conditions'!$V$8*E10)/(('Current Pivot Conditions'!$R$10+'Current Pivot Conditions'!$V$9)^2))</f>
        <v>2.182177985427217</v>
      </c>
      <c r="M10" s="148">
        <f t="shared" ca="1" si="0"/>
        <v>1.98</v>
      </c>
      <c r="N10" s="150">
        <f t="shared" ca="1" si="3"/>
        <v>291.80999999999995</v>
      </c>
      <c r="O10" s="40"/>
      <c r="P10" s="183" t="s">
        <v>70</v>
      </c>
      <c r="Q10" s="184"/>
      <c r="R10" s="185">
        <v>607</v>
      </c>
      <c r="S10" s="45" t="s">
        <v>37</v>
      </c>
      <c r="T10" s="183" t="s">
        <v>73</v>
      </c>
      <c r="U10" s="184"/>
      <c r="V10" s="185">
        <f>R10+V9</f>
        <v>703</v>
      </c>
      <c r="W10" s="45" t="s">
        <v>37</v>
      </c>
    </row>
    <row r="11" spans="2:23">
      <c r="B11" s="298"/>
      <c r="C11" s="151">
        <v>6</v>
      </c>
      <c r="D11" s="152">
        <v>120.5</v>
      </c>
      <c r="E11" s="153">
        <f t="shared" si="1"/>
        <v>17.200000000000003</v>
      </c>
      <c r="F11" s="53" t="s">
        <v>67</v>
      </c>
      <c r="G11" s="53" t="s">
        <v>68</v>
      </c>
      <c r="H11" s="53" t="s">
        <v>93</v>
      </c>
      <c r="I11" s="153">
        <f t="shared" ca="1" si="2"/>
        <v>65.738475965341948</v>
      </c>
      <c r="J11" s="153">
        <v>20</v>
      </c>
      <c r="K11" s="154">
        <f ca="1">(0.2083*(100/'Current Pivot Conditions'!$V$7)^1.852*N11^1.852/('Current Pivot Conditions'!$U$16)^4.8655)*0.43353*(E11/100)</f>
        <v>3.6027969636901011E-2</v>
      </c>
      <c r="L11" s="154">
        <f>((2*D11*'Current Pivot Conditions'!$V$8*E11)/(('Current Pivot Conditions'!$R$10+'Current Pivot Conditions'!$V$9)^2))</f>
        <v>2.5162633622617157</v>
      </c>
      <c r="M11" s="53">
        <f t="shared" ca="1" si="0"/>
        <v>2.48</v>
      </c>
      <c r="N11" s="155">
        <f t="shared" ca="1" si="3"/>
        <v>289.32999999999993</v>
      </c>
      <c r="O11" s="40"/>
      <c r="P11" s="183" t="s">
        <v>363</v>
      </c>
      <c r="Q11" s="184"/>
      <c r="R11" s="289" t="s">
        <v>80</v>
      </c>
      <c r="S11" s="290"/>
      <c r="T11" s="183" t="s">
        <v>251</v>
      </c>
      <c r="U11" s="184"/>
      <c r="V11" s="289" t="s">
        <v>80</v>
      </c>
      <c r="W11" s="290"/>
    </row>
    <row r="12" spans="2:23">
      <c r="B12" s="298"/>
      <c r="C12" s="145">
        <v>7</v>
      </c>
      <c r="D12" s="146">
        <v>138</v>
      </c>
      <c r="E12" s="147">
        <f t="shared" si="1"/>
        <v>17.5</v>
      </c>
      <c r="F12" s="148" t="s">
        <v>67</v>
      </c>
      <c r="G12" s="148" t="s">
        <v>68</v>
      </c>
      <c r="H12" s="148" t="s">
        <v>94</v>
      </c>
      <c r="I12" s="147">
        <f t="shared" ca="1" si="2"/>
        <v>65.702471548258075</v>
      </c>
      <c r="J12" s="147">
        <v>20</v>
      </c>
      <c r="K12" s="149">
        <f ca="1">(0.2083*(100/'Current Pivot Conditions'!$V$7)^1.852*N12^1.852/('Current Pivot Conditions'!$U$16)^4.8655)*0.43353*(E12/100)</f>
        <v>3.6004417083871088E-2</v>
      </c>
      <c r="L12" s="149">
        <f>((2*D12*'Current Pivot Conditions'!$V$8*E12)/(('Current Pivot Conditions'!$R$10+'Current Pivot Conditions'!$V$9)^2))</f>
        <v>2.9319579368242992</v>
      </c>
      <c r="M12" s="148">
        <f t="shared" ca="1" si="0"/>
        <v>2.79</v>
      </c>
      <c r="N12" s="150">
        <f t="shared" ca="1" si="3"/>
        <v>286.53999999999991</v>
      </c>
      <c r="O12" s="40"/>
      <c r="P12" s="187" t="s">
        <v>252</v>
      </c>
      <c r="Q12" s="188"/>
      <c r="R12" s="293" t="s">
        <v>256</v>
      </c>
      <c r="S12" s="294"/>
      <c r="T12" s="187" t="s">
        <v>253</v>
      </c>
      <c r="U12" s="188"/>
      <c r="V12" s="293" t="s">
        <v>80</v>
      </c>
      <c r="W12" s="294"/>
    </row>
    <row r="13" spans="2:23">
      <c r="B13" s="298"/>
      <c r="C13" s="151">
        <v>8</v>
      </c>
      <c r="D13" s="152">
        <v>155.80000000000001</v>
      </c>
      <c r="E13" s="153">
        <f t="shared" si="1"/>
        <v>17.800000000000011</v>
      </c>
      <c r="F13" s="53" t="s">
        <v>67</v>
      </c>
      <c r="G13" s="53" t="s">
        <v>68</v>
      </c>
      <c r="H13" s="53" t="s">
        <v>95</v>
      </c>
      <c r="I13" s="153">
        <f t="shared" ca="1" si="2"/>
        <v>65.666580290936892</v>
      </c>
      <c r="J13" s="153">
        <v>20</v>
      </c>
      <c r="K13" s="154">
        <f ca="1">(0.2083*(100/'Current Pivot Conditions'!$V$7)^1.852*N13^1.852/('Current Pivot Conditions'!$U$16)^4.8655)*0.43353*(E13/100)</f>
        <v>3.5891257321188433E-2</v>
      </c>
      <c r="L13" s="154">
        <f>((2*D13*'Current Pivot Conditions'!$V$8*E13)/(('Current Pivot Conditions'!$R$10+'Current Pivot Conditions'!$V$9)^2))</f>
        <v>3.3668832417054348</v>
      </c>
      <c r="M13" s="53">
        <f t="shared" ca="1" si="0"/>
        <v>3.1</v>
      </c>
      <c r="N13" s="155">
        <f t="shared" ca="1" si="3"/>
        <v>283.43999999999988</v>
      </c>
      <c r="O13" s="40"/>
    </row>
    <row r="14" spans="2:23" ht="15.75" customHeight="1">
      <c r="B14" s="299"/>
      <c r="C14" s="163">
        <v>9</v>
      </c>
      <c r="D14" s="164">
        <v>173.6</v>
      </c>
      <c r="E14" s="165">
        <f t="shared" si="1"/>
        <v>17.799999999999983</v>
      </c>
      <c r="F14" s="166" t="s">
        <v>67</v>
      </c>
      <c r="G14" s="166" t="s">
        <v>68</v>
      </c>
      <c r="H14" s="166" t="s">
        <v>98</v>
      </c>
      <c r="I14" s="165">
        <f t="shared" ref="I14:I22" ca="1" si="4">I13-K14</f>
        <v>65.63163302933755</v>
      </c>
      <c r="J14" s="165">
        <v>20</v>
      </c>
      <c r="K14" s="167">
        <f ca="1">(0.2083*(100/'Current Pivot Conditions'!$V$7)^1.852*N14^1.852/('Current Pivot Conditions'!$U$16)^4.8655)*0.43353*(E14/100)</f>
        <v>3.4947261599347669E-2</v>
      </c>
      <c r="L14" s="167">
        <f>((2*D14*'Current Pivot Conditions'!$V$8*E14)/(('Current Pivot Conditions'!$R$10+'Current Pivot Conditions'!$V$9)^2))</f>
        <v>3.7515464105267169</v>
      </c>
      <c r="M14" s="166">
        <f t="shared" ca="1" si="0"/>
        <v>4.05</v>
      </c>
      <c r="N14" s="168">
        <f t="shared" ca="1" si="3"/>
        <v>279.38999999999987</v>
      </c>
      <c r="O14" s="42"/>
      <c r="P14" s="284" t="s">
        <v>79</v>
      </c>
      <c r="Q14" s="285"/>
      <c r="R14" s="285"/>
      <c r="S14" s="285"/>
      <c r="T14" s="285"/>
      <c r="U14" s="285"/>
      <c r="V14" s="285"/>
      <c r="W14" s="286"/>
    </row>
    <row r="15" spans="2:23">
      <c r="B15" s="297" t="s">
        <v>169</v>
      </c>
      <c r="C15" s="140">
        <v>10</v>
      </c>
      <c r="D15" s="141">
        <v>193.5</v>
      </c>
      <c r="E15" s="162">
        <f t="shared" si="1"/>
        <v>19.900000000000006</v>
      </c>
      <c r="F15" s="142" t="s">
        <v>67</v>
      </c>
      <c r="G15" s="142" t="s">
        <v>68</v>
      </c>
      <c r="H15" s="142" t="s">
        <v>98</v>
      </c>
      <c r="I15" s="162">
        <f t="shared" ca="1" si="4"/>
        <v>65.593605187831002</v>
      </c>
      <c r="J15" s="162">
        <v>20</v>
      </c>
      <c r="K15" s="143">
        <f ca="1">(0.2083*(100/'Current Pivot Conditions'!$V$7)^1.852*N15^1.852/('Current Pivot Conditions'!$U$16)^4.8655)*0.43353*(E15/100)</f>
        <v>3.8027841506544063E-2</v>
      </c>
      <c r="L15" s="143">
        <f>((2*D15*'Current Pivot Conditions'!$V$8*E15)/(('Current Pivot Conditions'!$R$10+'Current Pivot Conditions'!$V$9)^2))</f>
        <v>4.6749249811314657</v>
      </c>
      <c r="M15" s="142">
        <f t="shared" ca="1" si="0"/>
        <v>4.05</v>
      </c>
      <c r="N15" s="144">
        <f t="shared" ca="1" si="3"/>
        <v>275.33999999999986</v>
      </c>
      <c r="O15" s="42"/>
      <c r="P15" s="225" t="s">
        <v>76</v>
      </c>
      <c r="Q15" s="288" t="s">
        <v>55</v>
      </c>
      <c r="R15" s="288"/>
      <c r="S15" s="288" t="s">
        <v>77</v>
      </c>
      <c r="T15" s="288"/>
      <c r="U15" s="288" t="s">
        <v>75</v>
      </c>
      <c r="V15" s="288"/>
      <c r="W15" s="225" t="s">
        <v>257</v>
      </c>
    </row>
    <row r="16" spans="2:23">
      <c r="B16" s="298"/>
      <c r="C16" s="145">
        <v>11</v>
      </c>
      <c r="D16" s="146">
        <v>211.3</v>
      </c>
      <c r="E16" s="147">
        <f t="shared" si="1"/>
        <v>17.800000000000011</v>
      </c>
      <c r="F16" s="148" t="s">
        <v>67</v>
      </c>
      <c r="G16" s="148" t="s">
        <v>68</v>
      </c>
      <c r="H16" s="148" t="s">
        <v>99</v>
      </c>
      <c r="I16" s="147">
        <f t="shared" ca="1" si="4"/>
        <v>65.56060369871831</v>
      </c>
      <c r="J16" s="147">
        <v>20</v>
      </c>
      <c r="K16" s="149">
        <f ca="1">(0.2083*(100/'Current Pivot Conditions'!$V$7)^1.852*N16^1.852/('Current Pivot Conditions'!$U$16)^4.8655)*0.43353*(E16/100)</f>
        <v>3.3001489112689249E-2</v>
      </c>
      <c r="L16" s="149">
        <f>((2*D16*'Current Pivot Conditions'!$V$8*E16)/(('Current Pivot Conditions'!$R$10+'Current Pivot Conditions'!$V$9)^2))</f>
        <v>4.5662543579740582</v>
      </c>
      <c r="M16" s="148">
        <f t="shared" ca="1" si="0"/>
        <v>4.46</v>
      </c>
      <c r="N16" s="150">
        <f t="shared" ca="1" si="3"/>
        <v>270.87999999999988</v>
      </c>
      <c r="O16" s="42"/>
      <c r="P16" s="226">
        <v>1</v>
      </c>
      <c r="Q16" s="295"/>
      <c r="R16" s="295"/>
      <c r="S16" s="189">
        <v>181.9</v>
      </c>
      <c r="T16" s="44" t="s">
        <v>37</v>
      </c>
      <c r="U16" s="190">
        <v>6.4</v>
      </c>
      <c r="V16" s="44" t="s">
        <v>35</v>
      </c>
      <c r="W16" s="227">
        <v>9</v>
      </c>
    </row>
    <row r="17" spans="2:24">
      <c r="B17" s="298"/>
      <c r="C17" s="151">
        <v>12</v>
      </c>
      <c r="D17" s="152">
        <v>229.1</v>
      </c>
      <c r="E17" s="153">
        <f t="shared" si="1"/>
        <v>17.799999999999983</v>
      </c>
      <c r="F17" s="53" t="s">
        <v>67</v>
      </c>
      <c r="G17" s="53" t="s">
        <v>68</v>
      </c>
      <c r="H17" s="53" t="s">
        <v>100</v>
      </c>
      <c r="I17" s="153">
        <f t="shared" ca="1" si="4"/>
        <v>65.528681497031798</v>
      </c>
      <c r="J17" s="153">
        <v>20</v>
      </c>
      <c r="K17" s="154">
        <f ca="1">(0.2083*(100/'Current Pivot Conditions'!$V$7)^1.852*N17^1.852/('Current Pivot Conditions'!$U$16)^4.8655)*0.43353*(E17/100)</f>
        <v>3.1922201686512858E-2</v>
      </c>
      <c r="L17" s="154">
        <f>((2*D17*'Current Pivot Conditions'!$V$8*E17)/(('Current Pivot Conditions'!$R$10+'Current Pivot Conditions'!$V$9)^2))</f>
        <v>4.9509175267953394</v>
      </c>
      <c r="M17" s="53">
        <f t="shared" ca="1" si="0"/>
        <v>4.82</v>
      </c>
      <c r="N17" s="155">
        <f t="shared" ca="1" si="3"/>
        <v>266.05999999999989</v>
      </c>
      <c r="O17" s="42"/>
      <c r="P17" s="226">
        <v>2</v>
      </c>
      <c r="Q17" s="295"/>
      <c r="R17" s="295"/>
      <c r="S17" s="189">
        <v>177.6</v>
      </c>
      <c r="T17" s="44" t="s">
        <v>37</v>
      </c>
      <c r="U17" s="190">
        <v>6.4</v>
      </c>
      <c r="V17" s="44" t="s">
        <v>35</v>
      </c>
      <c r="W17" s="227">
        <v>10</v>
      </c>
    </row>
    <row r="18" spans="2:24">
      <c r="B18" s="298"/>
      <c r="C18" s="145">
        <v>13</v>
      </c>
      <c r="D18" s="146">
        <v>246.3</v>
      </c>
      <c r="E18" s="147">
        <f t="shared" si="1"/>
        <v>17.200000000000017</v>
      </c>
      <c r="F18" s="148" t="s">
        <v>67</v>
      </c>
      <c r="G18" s="148" t="s">
        <v>68</v>
      </c>
      <c r="H18" s="148" t="s">
        <v>100</v>
      </c>
      <c r="I18" s="147">
        <f t="shared" ca="1" si="4"/>
        <v>65.498862257379173</v>
      </c>
      <c r="J18" s="147">
        <v>20</v>
      </c>
      <c r="K18" s="149">
        <f ca="1">(0.2083*(100/'Current Pivot Conditions'!$V$7)^1.852*N18^1.852/('Current Pivot Conditions'!$U$16)^4.8655)*0.43353*(E18/100)</f>
        <v>2.9819239652631325E-2</v>
      </c>
      <c r="L18" s="149">
        <f>((2*D18*'Current Pivot Conditions'!$V$8*E18)/(('Current Pivot Conditions'!$R$10+'Current Pivot Conditions'!$V$9)^2))</f>
        <v>5.1432005487556927</v>
      </c>
      <c r="M18" s="148">
        <f t="shared" ca="1" si="0"/>
        <v>4.82</v>
      </c>
      <c r="N18" s="150">
        <f t="shared" ca="1" si="3"/>
        <v>261.2399999999999</v>
      </c>
      <c r="O18" s="42"/>
      <c r="P18" s="226">
        <v>3</v>
      </c>
      <c r="Q18" s="295"/>
      <c r="R18" s="295"/>
      <c r="S18" s="189">
        <v>177.6</v>
      </c>
      <c r="T18" s="44" t="s">
        <v>37</v>
      </c>
      <c r="U18" s="190">
        <v>6.4</v>
      </c>
      <c r="V18" s="44" t="s">
        <v>35</v>
      </c>
      <c r="W18" s="227">
        <v>20</v>
      </c>
    </row>
    <row r="19" spans="2:24">
      <c r="B19" s="298"/>
      <c r="C19" s="151">
        <v>14</v>
      </c>
      <c r="D19" s="152">
        <v>263.5</v>
      </c>
      <c r="E19" s="153">
        <f t="shared" si="1"/>
        <v>17.199999999999989</v>
      </c>
      <c r="F19" s="53" t="s">
        <v>67</v>
      </c>
      <c r="G19" s="53" t="s">
        <v>68</v>
      </c>
      <c r="H19" s="53" t="s">
        <v>102</v>
      </c>
      <c r="I19" s="153">
        <f t="shared" ca="1" si="4"/>
        <v>65.470218091649784</v>
      </c>
      <c r="J19" s="153">
        <v>20</v>
      </c>
      <c r="K19" s="154">
        <f ca="1">(0.2083*(100/'Current Pivot Conditions'!$V$7)^1.852*N19^1.852/('Current Pivot Conditions'!$U$16)^4.8655)*0.43353*(E19/100)</f>
        <v>2.8644165729395463E-2</v>
      </c>
      <c r="L19" s="154">
        <f>((2*D19*'Current Pivot Conditions'!$V$8*E19)/(('Current Pivot Conditions'!$R$10+'Current Pivot Conditions'!$V$9)^2))</f>
        <v>5.5023684311698053</v>
      </c>
      <c r="M19" s="53">
        <f t="shared" ca="1" si="0"/>
        <v>5.61</v>
      </c>
      <c r="N19" s="155">
        <f t="shared" ca="1" si="3"/>
        <v>255.62999999999988</v>
      </c>
      <c r="O19" s="42"/>
      <c r="P19" s="222">
        <v>4</v>
      </c>
      <c r="Q19" s="300"/>
      <c r="R19" s="300"/>
      <c r="S19" s="191">
        <v>70</v>
      </c>
      <c r="T19" s="52" t="s">
        <v>37</v>
      </c>
      <c r="U19" s="192">
        <v>6.4</v>
      </c>
      <c r="V19" s="52" t="s">
        <v>35</v>
      </c>
      <c r="W19" s="223">
        <v>7</v>
      </c>
    </row>
    <row r="20" spans="2:24">
      <c r="B20" s="298"/>
      <c r="C20" s="145">
        <v>15</v>
      </c>
      <c r="D20" s="146">
        <v>280.89999999999998</v>
      </c>
      <c r="E20" s="147">
        <f t="shared" si="1"/>
        <v>17.399999999999977</v>
      </c>
      <c r="F20" s="148" t="s">
        <v>67</v>
      </c>
      <c r="G20" s="148" t="s">
        <v>68</v>
      </c>
      <c r="H20" s="148" t="s">
        <v>102</v>
      </c>
      <c r="I20" s="147">
        <f t="shared" ca="1" si="4"/>
        <v>65.442407570517261</v>
      </c>
      <c r="J20" s="147">
        <v>20</v>
      </c>
      <c r="K20" s="149">
        <f ca="1">(0.2083*(100/'Current Pivot Conditions'!$V$7)^1.852*N20^1.852/('Current Pivot Conditions'!$U$16)^4.8655)*0.43353*(E20/100)</f>
        <v>2.7810521132524007E-2</v>
      </c>
      <c r="L20" s="149">
        <f>((2*D20*'Current Pivot Conditions'!$V$8*E20)/(('Current Pivot Conditions'!$R$10+'Current Pivot Conditions'!$V$9)^2))</f>
        <v>5.9339186457551287</v>
      </c>
      <c r="M20" s="148">
        <f t="shared" ca="1" si="0"/>
        <v>5.61</v>
      </c>
      <c r="N20" s="150">
        <f t="shared" ca="1" si="3"/>
        <v>250.01999999999987</v>
      </c>
      <c r="O20" s="42"/>
      <c r="P20" s="221"/>
      <c r="Q20" s="295"/>
      <c r="R20" s="295"/>
      <c r="S20" s="189"/>
      <c r="T20" s="44"/>
      <c r="U20" s="190"/>
      <c r="V20" s="44"/>
      <c r="W20" s="221"/>
      <c r="X20" s="40"/>
    </row>
    <row r="21" spans="2:24">
      <c r="B21" s="298"/>
      <c r="C21" s="151">
        <v>16</v>
      </c>
      <c r="D21" s="152">
        <v>298.10000000000002</v>
      </c>
      <c r="E21" s="153">
        <f t="shared" si="1"/>
        <v>17.200000000000045</v>
      </c>
      <c r="F21" s="53" t="s">
        <v>67</v>
      </c>
      <c r="G21" s="53" t="s">
        <v>68</v>
      </c>
      <c r="H21" s="53" t="s">
        <v>103</v>
      </c>
      <c r="I21" s="153">
        <f t="shared" ca="1" si="4"/>
        <v>65.416147957735248</v>
      </c>
      <c r="J21" s="153">
        <v>20</v>
      </c>
      <c r="K21" s="154">
        <f ca="1">(0.2083*(100/'Current Pivot Conditions'!$V$7)^1.852*N21^1.852/('Current Pivot Conditions'!$U$16)^4.8655)*0.43353*(E21/100)</f>
        <v>2.6259612782007405E-2</v>
      </c>
      <c r="L21" s="154">
        <f>((2*D21*'Current Pivot Conditions'!$V$8*E21)/(('Current Pivot Conditions'!$R$10+'Current Pivot Conditions'!$V$9)^2))</f>
        <v>6.2248805667238107</v>
      </c>
      <c r="M21" s="53">
        <f t="shared" ca="1" si="0"/>
        <v>6.11</v>
      </c>
      <c r="N21" s="155">
        <f t="shared" ca="1" si="3"/>
        <v>243.90999999999985</v>
      </c>
      <c r="O21" s="42"/>
      <c r="P21" s="221"/>
      <c r="Q21" s="295"/>
      <c r="R21" s="295"/>
      <c r="S21" s="189"/>
      <c r="T21" s="44"/>
      <c r="U21" s="190"/>
      <c r="V21" s="44"/>
      <c r="W21" s="221"/>
      <c r="X21" s="40"/>
    </row>
    <row r="22" spans="2:24">
      <c r="B22" s="298"/>
      <c r="C22" s="145">
        <v>17</v>
      </c>
      <c r="D22" s="146">
        <v>315.60000000000002</v>
      </c>
      <c r="E22" s="147">
        <f t="shared" si="1"/>
        <v>17.5</v>
      </c>
      <c r="F22" s="148" t="s">
        <v>67</v>
      </c>
      <c r="G22" s="148" t="s">
        <v>68</v>
      </c>
      <c r="H22" s="148" t="s">
        <v>104</v>
      </c>
      <c r="I22" s="147">
        <f t="shared" ca="1" si="4"/>
        <v>65.390739915110217</v>
      </c>
      <c r="J22" s="147">
        <v>20</v>
      </c>
      <c r="K22" s="149">
        <f ca="1">(0.2083*(100/'Current Pivot Conditions'!$V$7)^1.852*N22^1.852/('Current Pivot Conditions'!$U$16)^4.8655)*0.43353*(E22/100)</f>
        <v>2.5408042625031945E-2</v>
      </c>
      <c r="L22" s="149">
        <f>((2*D22*'Current Pivot Conditions'!$V$8*E22)/(('Current Pivot Conditions'!$R$10+'Current Pivot Conditions'!$V$9)^2))</f>
        <v>6.7052603250851357</v>
      </c>
      <c r="M22" s="148">
        <f t="shared" ca="1" si="0"/>
        <v>6.53</v>
      </c>
      <c r="N22" s="150">
        <f t="shared" ca="1" si="3"/>
        <v>237.37999999999985</v>
      </c>
      <c r="O22" s="42"/>
      <c r="P22" s="224"/>
      <c r="Q22" s="296"/>
      <c r="R22" s="296"/>
      <c r="S22" s="40"/>
      <c r="T22" s="44"/>
      <c r="U22" s="40"/>
      <c r="V22" s="44"/>
      <c r="W22" s="40"/>
      <c r="X22" s="40"/>
    </row>
    <row r="23" spans="2:24" ht="15.75" customHeight="1">
      <c r="B23" s="298"/>
      <c r="C23" s="151">
        <v>18</v>
      </c>
      <c r="D23" s="152">
        <v>333.4</v>
      </c>
      <c r="E23" s="153">
        <f t="shared" si="1"/>
        <v>17.799999999999955</v>
      </c>
      <c r="F23" s="53" t="s">
        <v>67</v>
      </c>
      <c r="G23" s="53" t="s">
        <v>68</v>
      </c>
      <c r="H23" s="53" t="s">
        <v>105</v>
      </c>
      <c r="I23" s="153">
        <f t="shared" ref="I23:I34" ca="1" si="5">I22-K23</f>
        <v>65.36628797769383</v>
      </c>
      <c r="J23" s="153">
        <v>20</v>
      </c>
      <c r="K23" s="154">
        <f ca="1">(0.2083*(100/'Current Pivot Conditions'!$V$7)^1.852*N23^1.852/('Current Pivot Conditions'!$U$16)^4.8655)*0.43353*(E23/100)</f>
        <v>2.4451937416387313E-2</v>
      </c>
      <c r="L23" s="154">
        <f>((2*D23*'Current Pivot Conditions'!$V$8*E23)/(('Current Pivot Conditions'!$R$10+'Current Pivot Conditions'!$V$9)^2))</f>
        <v>7.2048708137650079</v>
      </c>
      <c r="M23" s="53">
        <f t="shared" ca="1" si="0"/>
        <v>6.99</v>
      </c>
      <c r="N23" s="155">
        <f ca="1">N22-M23</f>
        <v>230.38999999999984</v>
      </c>
      <c r="O23" s="42"/>
      <c r="P23" s="34"/>
      <c r="Q23" s="296"/>
      <c r="R23" s="296"/>
      <c r="S23" s="40"/>
      <c r="T23" s="44"/>
      <c r="U23" s="40"/>
      <c r="V23" s="44"/>
      <c r="W23" s="40"/>
    </row>
    <row r="24" spans="2:24">
      <c r="B24" s="299"/>
      <c r="C24" s="163">
        <v>19</v>
      </c>
      <c r="D24" s="164">
        <v>351.2</v>
      </c>
      <c r="E24" s="165">
        <f t="shared" si="1"/>
        <v>17.800000000000011</v>
      </c>
      <c r="F24" s="166" t="s">
        <v>67</v>
      </c>
      <c r="G24" s="166" t="s">
        <v>68</v>
      </c>
      <c r="H24" s="166" t="s">
        <v>103</v>
      </c>
      <c r="I24" s="165">
        <f t="shared" ca="1" si="5"/>
        <v>65.343023423416824</v>
      </c>
      <c r="J24" s="165">
        <v>20</v>
      </c>
      <c r="K24" s="167">
        <f ca="1">(0.2083*(100/'Current Pivot Conditions'!$V$7)^1.852*N24^1.852/('Current Pivot Conditions'!$U$16)^4.8655)*0.43353*(E24/100)</f>
        <v>2.3264554277001862E-2</v>
      </c>
      <c r="L24" s="167">
        <f>((2*D24*'Current Pivot Conditions'!$V$8*E24)/(('Current Pivot Conditions'!$R$10+'Current Pivot Conditions'!$V$9)^2))</f>
        <v>7.5895339825863193</v>
      </c>
      <c r="M24" s="166">
        <f t="shared" ca="1" si="0"/>
        <v>6.11</v>
      </c>
      <c r="N24" s="168">
        <f t="shared" ref="N24:N34" ca="1" si="6">N23-M24</f>
        <v>224.27999999999983</v>
      </c>
      <c r="O24" s="42"/>
      <c r="P24" s="34"/>
      <c r="Q24" s="296"/>
      <c r="R24" s="296"/>
      <c r="S24" s="40"/>
      <c r="T24" s="44"/>
      <c r="U24" s="40"/>
      <c r="V24" s="44"/>
      <c r="W24" s="40"/>
    </row>
    <row r="25" spans="2:24">
      <c r="B25" s="297" t="s">
        <v>170</v>
      </c>
      <c r="C25" s="140">
        <v>20</v>
      </c>
      <c r="D25" s="141">
        <v>362.2</v>
      </c>
      <c r="E25" s="162">
        <f t="shared" si="1"/>
        <v>11</v>
      </c>
      <c r="F25" s="142" t="s">
        <v>67</v>
      </c>
      <c r="G25" s="142" t="s">
        <v>68</v>
      </c>
      <c r="H25" s="142" t="s">
        <v>98</v>
      </c>
      <c r="I25" s="162">
        <f t="shared" ca="1" si="5"/>
        <v>65.329123558998674</v>
      </c>
      <c r="J25" s="162">
        <v>20</v>
      </c>
      <c r="K25" s="143">
        <f ca="1">(0.2083*(100/'Current Pivot Conditions'!$V$7)^1.852*N25^1.852/('Current Pivot Conditions'!$U$16)^4.8655)*0.43353*(E25/100)</f>
        <v>1.3899864418155418E-2</v>
      </c>
      <c r="L25" s="143">
        <f>((2*D25*'Current Pivot Conditions'!$V$8*E25)/(('Current Pivot Conditions'!$R$10+'Current Pivot Conditions'!$V$9)^2))</f>
        <v>4.8370628620684775</v>
      </c>
      <c r="M25" s="142">
        <f t="shared" ca="1" si="0"/>
        <v>4.05</v>
      </c>
      <c r="N25" s="144">
        <f t="shared" ca="1" si="6"/>
        <v>220.22999999999982</v>
      </c>
      <c r="O25" s="42"/>
      <c r="P25" s="34"/>
      <c r="Q25" s="296"/>
      <c r="R25" s="296"/>
      <c r="S25" s="40"/>
      <c r="T25" s="44"/>
      <c r="U25" s="40"/>
      <c r="V25" s="44"/>
      <c r="W25" s="40"/>
    </row>
    <row r="26" spans="2:24">
      <c r="B26" s="298"/>
      <c r="C26" s="145">
        <v>21</v>
      </c>
      <c r="D26" s="146">
        <v>371.1</v>
      </c>
      <c r="E26" s="147">
        <f t="shared" si="1"/>
        <v>8.9000000000000341</v>
      </c>
      <c r="F26" s="148" t="s">
        <v>67</v>
      </c>
      <c r="G26" s="148" t="s">
        <v>68</v>
      </c>
      <c r="H26" s="148" t="s">
        <v>98</v>
      </c>
      <c r="I26" s="147">
        <f t="shared" ca="1" si="5"/>
        <v>65.31825732692883</v>
      </c>
      <c r="J26" s="147">
        <v>20</v>
      </c>
      <c r="K26" s="149">
        <f ca="1">(0.2083*(100/'Current Pivot Conditions'!$V$7)^1.852*N26^1.852/('Current Pivot Conditions'!$U$16)^4.8655)*0.43353*(E26/100)</f>
        <v>1.0866232069848734E-2</v>
      </c>
      <c r="L26" s="149">
        <f>((2*D26*'Current Pivot Conditions'!$V$8*E26)/(('Current Pivot Conditions'!$R$10+'Current Pivot Conditions'!$V$9)^2))</f>
        <v>4.0097893806061959</v>
      </c>
      <c r="M26" s="148">
        <f t="shared" ca="1" si="0"/>
        <v>4.05</v>
      </c>
      <c r="N26" s="150">
        <f t="shared" ca="1" si="6"/>
        <v>216.17999999999981</v>
      </c>
      <c r="O26" s="42"/>
    </row>
    <row r="27" spans="2:24">
      <c r="B27" s="298"/>
      <c r="C27" s="151">
        <v>22</v>
      </c>
      <c r="D27" s="152">
        <v>380</v>
      </c>
      <c r="E27" s="153">
        <f t="shared" si="1"/>
        <v>8.8999999999999773</v>
      </c>
      <c r="F27" s="53" t="s">
        <v>67</v>
      </c>
      <c r="G27" s="53" t="s">
        <v>68</v>
      </c>
      <c r="H27" s="53" t="s">
        <v>98</v>
      </c>
      <c r="I27" s="153">
        <f t="shared" ca="1" si="5"/>
        <v>65.307765098886122</v>
      </c>
      <c r="J27" s="153">
        <v>20</v>
      </c>
      <c r="K27" s="154">
        <f ca="1">(0.2083*(100/'Current Pivot Conditions'!$V$7)^1.852*N27^1.852/('Current Pivot Conditions'!$U$16)^4.8655)*0.43353*(E27/100)</f>
        <v>1.0492228042704225E-2</v>
      </c>
      <c r="L27" s="154">
        <f>((2*D27*'Current Pivot Conditions'!$V$8*E27)/(('Current Pivot Conditions'!$R$10+'Current Pivot Conditions'!$V$9)^2))</f>
        <v>4.105955172811492</v>
      </c>
      <c r="M27" s="53">
        <f t="shared" ca="1" si="0"/>
        <v>4.05</v>
      </c>
      <c r="N27" s="155">
        <f t="shared" ca="1" si="6"/>
        <v>212.1299999999998</v>
      </c>
      <c r="O27" s="42"/>
    </row>
    <row r="28" spans="2:24">
      <c r="B28" s="298"/>
      <c r="C28" s="145">
        <v>23</v>
      </c>
      <c r="D28" s="146">
        <v>388.9</v>
      </c>
      <c r="E28" s="147">
        <f t="shared" si="1"/>
        <v>8.8999999999999773</v>
      </c>
      <c r="F28" s="148" t="s">
        <v>67</v>
      </c>
      <c r="G28" s="148" t="s">
        <v>68</v>
      </c>
      <c r="H28" s="148" t="s">
        <v>98</v>
      </c>
      <c r="I28" s="147">
        <f t="shared" ca="1" si="5"/>
        <v>65.297640840160597</v>
      </c>
      <c r="J28" s="147">
        <v>20</v>
      </c>
      <c r="K28" s="149">
        <f ca="1">(0.2083*(100/'Current Pivot Conditions'!$V$7)^1.852*N28^1.852/('Current Pivot Conditions'!$U$16)^4.8655)*0.43353*(E28/100)</f>
        <v>1.0124258725525859E-2</v>
      </c>
      <c r="L28" s="149">
        <f>((2*D28*'Current Pivot Conditions'!$V$8*E28)/(('Current Pivot Conditions'!$R$10+'Current Pivot Conditions'!$V$9)^2))</f>
        <v>4.2021209650168139</v>
      </c>
      <c r="M28" s="148">
        <f t="shared" ca="1" si="0"/>
        <v>4.05</v>
      </c>
      <c r="N28" s="150">
        <f t="shared" ca="1" si="6"/>
        <v>208.07999999999979</v>
      </c>
      <c r="O28" s="42"/>
    </row>
    <row r="29" spans="2:24">
      <c r="B29" s="298"/>
      <c r="C29" s="151">
        <v>24</v>
      </c>
      <c r="D29" s="152">
        <v>397.8</v>
      </c>
      <c r="E29" s="153">
        <f t="shared" si="1"/>
        <v>8.9000000000000341</v>
      </c>
      <c r="F29" s="53" t="s">
        <v>67</v>
      </c>
      <c r="G29" s="53" t="s">
        <v>68</v>
      </c>
      <c r="H29" s="53" t="s">
        <v>98</v>
      </c>
      <c r="I29" s="153">
        <f t="shared" ca="1" si="5"/>
        <v>65.287878498799756</v>
      </c>
      <c r="J29" s="153">
        <v>20</v>
      </c>
      <c r="K29" s="154">
        <f ca="1">(0.2083*(100/'Current Pivot Conditions'!$V$7)^1.852*N29^1.852/('Current Pivot Conditions'!$U$16)^4.8655)*0.43353*(E29/100)</f>
        <v>9.7623413608355237E-3</v>
      </c>
      <c r="L29" s="154">
        <f>((2*D29*'Current Pivot Conditions'!$V$8*E29)/(('Current Pivot Conditions'!$R$10+'Current Pivot Conditions'!$V$9)^2))</f>
        <v>4.2982867572221632</v>
      </c>
      <c r="M29" s="53">
        <f t="shared" ca="1" si="0"/>
        <v>4.05</v>
      </c>
      <c r="N29" s="155">
        <f t="shared" ca="1" si="6"/>
        <v>204.02999999999977</v>
      </c>
      <c r="O29" s="42"/>
    </row>
    <row r="30" spans="2:24">
      <c r="B30" s="298"/>
      <c r="C30" s="145">
        <v>25</v>
      </c>
      <c r="D30" s="146">
        <v>406.7</v>
      </c>
      <c r="E30" s="147">
        <f t="shared" si="1"/>
        <v>8.8999999999999773</v>
      </c>
      <c r="F30" s="148" t="s">
        <v>67</v>
      </c>
      <c r="G30" s="148" t="s">
        <v>68</v>
      </c>
      <c r="H30" s="148" t="s">
        <v>98</v>
      </c>
      <c r="I30" s="147">
        <f t="shared" ca="1" si="5"/>
        <v>65.278472005218902</v>
      </c>
      <c r="J30" s="147">
        <v>20</v>
      </c>
      <c r="K30" s="149">
        <f ca="1">(0.2083*(100/'Current Pivot Conditions'!$V$7)^1.852*N30^1.852/('Current Pivot Conditions'!$U$16)^4.8655)*0.43353*(E30/100)</f>
        <v>9.4064935808560405E-3</v>
      </c>
      <c r="L30" s="149">
        <f>((2*D30*'Current Pivot Conditions'!$V$8*E30)/(('Current Pivot Conditions'!$R$10+'Current Pivot Conditions'!$V$9)^2))</f>
        <v>4.3944525494274576</v>
      </c>
      <c r="M30" s="148">
        <f t="shared" ca="1" si="0"/>
        <v>4.05</v>
      </c>
      <c r="N30" s="150">
        <f t="shared" ca="1" si="6"/>
        <v>199.97999999999976</v>
      </c>
      <c r="O30" s="42"/>
    </row>
    <row r="31" spans="2:24">
      <c r="B31" s="298"/>
      <c r="C31" s="151">
        <v>26</v>
      </c>
      <c r="D31" s="152">
        <v>415.3</v>
      </c>
      <c r="E31" s="153">
        <f t="shared" si="1"/>
        <v>8.6000000000000227</v>
      </c>
      <c r="F31" s="53" t="s">
        <v>67</v>
      </c>
      <c r="G31" s="53" t="s">
        <v>68</v>
      </c>
      <c r="H31" s="53" t="s">
        <v>99</v>
      </c>
      <c r="I31" s="153">
        <f t="shared" ca="1" si="5"/>
        <v>65.269754440652136</v>
      </c>
      <c r="J31" s="153">
        <v>20</v>
      </c>
      <c r="K31" s="154">
        <f ca="1">(0.2083*(100/'Current Pivot Conditions'!$V$7)^1.852*N31^1.852/('Current Pivot Conditions'!$U$16)^4.8655)*0.43353*(E31/100)</f>
        <v>8.7175645667632671E-3</v>
      </c>
      <c r="L31" s="154">
        <f>((2*D31*'Current Pivot Conditions'!$V$8*E31)/(('Current Pivot Conditions'!$R$10+'Current Pivot Conditions'!$V$9)^2))</f>
        <v>4.3361169060053655</v>
      </c>
      <c r="M31" s="53">
        <f t="shared" ca="1" si="0"/>
        <v>4.46</v>
      </c>
      <c r="N31" s="155">
        <f t="shared" ca="1" si="6"/>
        <v>195.51999999999975</v>
      </c>
      <c r="O31" s="42"/>
    </row>
    <row r="32" spans="2:24">
      <c r="B32" s="298"/>
      <c r="C32" s="145">
        <v>27</v>
      </c>
      <c r="D32" s="146">
        <v>423.9</v>
      </c>
      <c r="E32" s="147">
        <f t="shared" si="1"/>
        <v>8.5999999999999659</v>
      </c>
      <c r="F32" s="148" t="s">
        <v>67</v>
      </c>
      <c r="G32" s="148" t="s">
        <v>68</v>
      </c>
      <c r="H32" s="148" t="s">
        <v>98</v>
      </c>
      <c r="I32" s="147">
        <f t="shared" ca="1" si="5"/>
        <v>65.261368347988594</v>
      </c>
      <c r="J32" s="147">
        <v>20</v>
      </c>
      <c r="K32" s="149">
        <f ca="1">(0.2083*(100/'Current Pivot Conditions'!$V$7)^1.852*N32^1.852/('Current Pivot Conditions'!$U$16)^4.8655)*0.43353*(E32/100)</f>
        <v>8.3860926635370321E-3</v>
      </c>
      <c r="L32" s="149">
        <f>((2*D32*'Current Pivot Conditions'!$V$8*E32)/(('Current Pivot Conditions'!$R$10+'Current Pivot Conditions'!$V$9)^2))</f>
        <v>4.4259088766088661</v>
      </c>
      <c r="M32" s="148">
        <f t="shared" ca="1" si="0"/>
        <v>4.05</v>
      </c>
      <c r="N32" s="150">
        <f t="shared" ca="1" si="6"/>
        <v>191.46999999999974</v>
      </c>
      <c r="O32" s="42"/>
    </row>
    <row r="33" spans="2:16">
      <c r="B33" s="298"/>
      <c r="C33" s="151">
        <v>28</v>
      </c>
      <c r="D33" s="152">
        <v>432.5</v>
      </c>
      <c r="E33" s="153">
        <f t="shared" si="1"/>
        <v>8.6000000000000227</v>
      </c>
      <c r="F33" s="53" t="s">
        <v>67</v>
      </c>
      <c r="G33" s="53" t="s">
        <v>68</v>
      </c>
      <c r="H33" s="53" t="s">
        <v>99</v>
      </c>
      <c r="I33" s="153">
        <f t="shared" ca="1" si="5"/>
        <v>65.253340433145524</v>
      </c>
      <c r="J33" s="153">
        <v>20</v>
      </c>
      <c r="K33" s="154">
        <f ca="1">(0.2083*(100/'Current Pivot Conditions'!$V$7)^1.852*N33^1.852/('Current Pivot Conditions'!$U$16)^4.8655)*0.43353*(E33/100)</f>
        <v>8.0279148430712505E-3</v>
      </c>
      <c r="L33" s="154">
        <f>((2*D33*'Current Pivot Conditions'!$V$8*E33)/(('Current Pivot Conditions'!$R$10+'Current Pivot Conditions'!$V$9)^2))</f>
        <v>4.5157008472124263</v>
      </c>
      <c r="M33" s="53">
        <f t="shared" ca="1" si="0"/>
        <v>4.46</v>
      </c>
      <c r="N33" s="155">
        <f t="shared" ca="1" si="6"/>
        <v>187.00999999999974</v>
      </c>
      <c r="O33" s="42"/>
    </row>
    <row r="34" spans="2:16">
      <c r="B34" s="298"/>
      <c r="C34" s="145">
        <v>29</v>
      </c>
      <c r="D34" s="146">
        <v>441.1</v>
      </c>
      <c r="E34" s="147">
        <f t="shared" si="1"/>
        <v>8.6000000000000227</v>
      </c>
      <c r="F34" s="148" t="s">
        <v>67</v>
      </c>
      <c r="G34" s="148" t="s">
        <v>68</v>
      </c>
      <c r="H34" s="148" t="s">
        <v>99</v>
      </c>
      <c r="I34" s="147">
        <f t="shared" ca="1" si="5"/>
        <v>65.245663491240649</v>
      </c>
      <c r="J34" s="147">
        <v>20</v>
      </c>
      <c r="K34" s="149">
        <f ca="1">(0.2083*(100/'Current Pivot Conditions'!$V$7)^1.852*N34^1.852/('Current Pivot Conditions'!$U$16)^4.8655)*0.43353*(E34/100)</f>
        <v>7.6769419048797333E-3</v>
      </c>
      <c r="L34" s="149">
        <f>((2*D34*'Current Pivot Conditions'!$V$8*E34)/(('Current Pivot Conditions'!$R$10+'Current Pivot Conditions'!$V$9)^2))</f>
        <v>4.6054928178159562</v>
      </c>
      <c r="M34" s="148">
        <f t="shared" ca="1" si="0"/>
        <v>4.46</v>
      </c>
      <c r="N34" s="150">
        <f t="shared" ca="1" si="6"/>
        <v>182.54999999999973</v>
      </c>
      <c r="O34" s="42"/>
    </row>
    <row r="35" spans="2:16" ht="15.75" customHeight="1">
      <c r="B35" s="298"/>
      <c r="C35" s="151">
        <v>30</v>
      </c>
      <c r="D35" s="152">
        <v>449.9</v>
      </c>
      <c r="E35" s="153">
        <f t="shared" si="1"/>
        <v>8.7999999999999545</v>
      </c>
      <c r="F35" s="53" t="s">
        <v>67</v>
      </c>
      <c r="G35" s="53" t="s">
        <v>68</v>
      </c>
      <c r="H35" s="53" t="s">
        <v>99</v>
      </c>
      <c r="I35" s="153">
        <f t="shared" ref="I35:I51" ca="1" si="7">I34-K35</f>
        <v>65.238159752077465</v>
      </c>
      <c r="J35" s="153">
        <v>20</v>
      </c>
      <c r="K35" s="154">
        <f ca="1">(0.2083*(100/'Current Pivot Conditions'!$V$7)^1.852*N35^1.852/('Current Pivot Conditions'!$U$16)^4.8655)*0.43353*(E35/100)</f>
        <v>7.5037391631855768E-3</v>
      </c>
      <c r="L35" s="154">
        <f>((2*D35*'Current Pivot Conditions'!$V$8*E35)/(('Current Pivot Conditions'!$R$10+'Current Pivot Conditions'!$V$9)^2))</f>
        <v>4.8066142057307495</v>
      </c>
      <c r="M35" s="53">
        <f t="shared" ca="1" si="0"/>
        <v>4.46</v>
      </c>
      <c r="N35" s="155">
        <f t="shared" ref="N35:N50" ca="1" si="8">N34-M35</f>
        <v>178.08999999999972</v>
      </c>
      <c r="O35" s="42"/>
    </row>
    <row r="36" spans="2:16">
      <c r="B36" s="298"/>
      <c r="C36" s="145">
        <v>31</v>
      </c>
      <c r="D36" s="146">
        <v>458.5</v>
      </c>
      <c r="E36" s="147">
        <f t="shared" si="1"/>
        <v>8.6000000000000227</v>
      </c>
      <c r="F36" s="148" t="s">
        <v>67</v>
      </c>
      <c r="G36" s="148" t="s">
        <v>68</v>
      </c>
      <c r="H36" s="148" t="s">
        <v>100</v>
      </c>
      <c r="I36" s="147">
        <f t="shared" ca="1" si="7"/>
        <v>65.231189880394851</v>
      </c>
      <c r="J36" s="147">
        <v>20</v>
      </c>
      <c r="K36" s="149">
        <f ca="1">(0.2083*(100/'Current Pivot Conditions'!$V$7)^1.852*N36^1.852/('Current Pivot Conditions'!$U$16)^4.8655)*0.43353*(E36/100)</f>
        <v>6.9698716826153539E-3</v>
      </c>
      <c r="L36" s="149">
        <f>((2*D36*'Current Pivot Conditions'!$V$8*E36)/(('Current Pivot Conditions'!$R$10+'Current Pivot Conditions'!$V$9)^2))</f>
        <v>4.7871649443858892</v>
      </c>
      <c r="M36" s="148">
        <f t="shared" ca="1" si="0"/>
        <v>4.82</v>
      </c>
      <c r="N36" s="150">
        <f t="shared" ca="1" si="8"/>
        <v>173.26999999999973</v>
      </c>
      <c r="O36" s="42"/>
    </row>
    <row r="37" spans="2:16">
      <c r="B37" s="298"/>
      <c r="C37" s="151">
        <v>32</v>
      </c>
      <c r="D37" s="152">
        <v>467.1</v>
      </c>
      <c r="E37" s="153">
        <f t="shared" si="1"/>
        <v>8.6000000000000227</v>
      </c>
      <c r="F37" s="53" t="s">
        <v>67</v>
      </c>
      <c r="G37" s="53" t="s">
        <v>68</v>
      </c>
      <c r="H37" s="53" t="s">
        <v>100</v>
      </c>
      <c r="I37" s="153">
        <f t="shared" ca="1" si="7"/>
        <v>65.224574826119948</v>
      </c>
      <c r="J37" s="153">
        <v>20</v>
      </c>
      <c r="K37" s="154">
        <f ca="1">(0.2083*(100/'Current Pivot Conditions'!$V$7)^1.852*N37^1.852/('Current Pivot Conditions'!$U$16)^4.8655)*0.43353*(E37/100)</f>
        <v>6.615054274895912E-3</v>
      </c>
      <c r="L37" s="154">
        <f>((2*D37*'Current Pivot Conditions'!$V$8*E37)/(('Current Pivot Conditions'!$R$10+'Current Pivot Conditions'!$V$9)^2))</f>
        <v>4.8769569149894201</v>
      </c>
      <c r="M37" s="53">
        <f t="shared" ca="1" si="0"/>
        <v>4.82</v>
      </c>
      <c r="N37" s="155">
        <f t="shared" ca="1" si="8"/>
        <v>168.44999999999973</v>
      </c>
      <c r="O37" s="42"/>
    </row>
    <row r="38" spans="2:16">
      <c r="B38" s="298"/>
      <c r="C38" s="145">
        <v>33</v>
      </c>
      <c r="D38" s="146">
        <v>475.7</v>
      </c>
      <c r="E38" s="147">
        <f t="shared" si="1"/>
        <v>8.5999999999999659</v>
      </c>
      <c r="F38" s="148" t="s">
        <v>67</v>
      </c>
      <c r="G38" s="148" t="s">
        <v>68</v>
      </c>
      <c r="H38" s="148" t="s">
        <v>100</v>
      </c>
      <c r="I38" s="147">
        <f t="shared" ca="1" si="7"/>
        <v>65.218306043091772</v>
      </c>
      <c r="J38" s="147">
        <v>20</v>
      </c>
      <c r="K38" s="149">
        <f ca="1">(0.2083*(100/'Current Pivot Conditions'!$V$7)^1.852*N38^1.852/('Current Pivot Conditions'!$U$16)^4.8655)*0.43353*(E38/100)</f>
        <v>6.2687830281769347E-3</v>
      </c>
      <c r="L38" s="149">
        <f>((2*D38*'Current Pivot Conditions'!$V$8*E38)/(('Current Pivot Conditions'!$R$10+'Current Pivot Conditions'!$V$9)^2))</f>
        <v>4.9667488855929181</v>
      </c>
      <c r="M38" s="148">
        <f t="shared" ref="M38:M51" ca="1" si="9">INDEX(INDIRECT("Flow_"&amp;$R$12),MATCH(H38,INDIRECT("Nozzle_"&amp;$R$12),0),MATCH(J38,INDIRECT("Pressure_"&amp;$R$12),0))</f>
        <v>4.82</v>
      </c>
      <c r="N38" s="150">
        <f t="shared" ca="1" si="8"/>
        <v>163.62999999999974</v>
      </c>
      <c r="O38" s="42"/>
    </row>
    <row r="39" spans="2:16">
      <c r="B39" s="298"/>
      <c r="C39" s="151">
        <v>34</v>
      </c>
      <c r="D39" s="152">
        <v>484.3</v>
      </c>
      <c r="E39" s="153">
        <f t="shared" si="1"/>
        <v>8.6000000000000227</v>
      </c>
      <c r="F39" s="53" t="s">
        <v>67</v>
      </c>
      <c r="G39" s="53" t="s">
        <v>68</v>
      </c>
      <c r="H39" s="53" t="s">
        <v>100</v>
      </c>
      <c r="I39" s="153">
        <f t="shared" ca="1" si="7"/>
        <v>65.212374948344788</v>
      </c>
      <c r="J39" s="153">
        <v>20</v>
      </c>
      <c r="K39" s="154">
        <f ca="1">(0.2083*(100/'Current Pivot Conditions'!$V$7)^1.852*N39^1.852/('Current Pivot Conditions'!$U$16)^4.8655)*0.43353*(E39/100)</f>
        <v>5.9310947469779834E-3</v>
      </c>
      <c r="L39" s="154">
        <f>((2*D39*'Current Pivot Conditions'!$V$8*E39)/(('Current Pivot Conditions'!$R$10+'Current Pivot Conditions'!$V$9)^2))</f>
        <v>5.0565408561964809</v>
      </c>
      <c r="M39" s="53">
        <f t="shared" ca="1" si="9"/>
        <v>4.82</v>
      </c>
      <c r="N39" s="155">
        <f t="shared" ca="1" si="8"/>
        <v>158.80999999999975</v>
      </c>
      <c r="O39" s="42"/>
    </row>
    <row r="40" spans="2:16">
      <c r="B40" s="298"/>
      <c r="C40" s="145">
        <v>35</v>
      </c>
      <c r="D40" s="146">
        <v>493.2</v>
      </c>
      <c r="E40" s="147">
        <f t="shared" si="1"/>
        <v>8.8999999999999773</v>
      </c>
      <c r="F40" s="148" t="s">
        <v>67</v>
      </c>
      <c r="G40" s="148" t="s">
        <v>68</v>
      </c>
      <c r="H40" s="148" t="s">
        <v>101</v>
      </c>
      <c r="I40" s="147">
        <f t="shared" ca="1" si="7"/>
        <v>65.206606055884762</v>
      </c>
      <c r="J40" s="147">
        <v>20</v>
      </c>
      <c r="K40" s="149">
        <f ca="1">(0.2083*(100/'Current Pivot Conditions'!$V$7)^1.852*N40^1.852/('Current Pivot Conditions'!$U$16)^4.8655)*0.43353*(E40/100)</f>
        <v>5.7688924600302165E-3</v>
      </c>
      <c r="L40" s="149">
        <f>((2*D40*'Current Pivot Conditions'!$V$8*E40)/(('Current Pivot Conditions'!$R$10+'Current Pivot Conditions'!$V$9)^2))</f>
        <v>5.3290976085016535</v>
      </c>
      <c r="M40" s="148">
        <f t="shared" ca="1" si="9"/>
        <v>5.23</v>
      </c>
      <c r="N40" s="150">
        <f t="shared" ca="1" si="8"/>
        <v>153.57999999999976</v>
      </c>
      <c r="O40" s="42"/>
    </row>
    <row r="41" spans="2:16">
      <c r="B41" s="298"/>
      <c r="C41" s="151">
        <v>36</v>
      </c>
      <c r="D41" s="152">
        <v>502.1</v>
      </c>
      <c r="E41" s="153">
        <f t="shared" si="1"/>
        <v>8.9000000000000341</v>
      </c>
      <c r="F41" s="53" t="s">
        <v>67</v>
      </c>
      <c r="G41" s="53" t="s">
        <v>68</v>
      </c>
      <c r="H41" s="53" t="s">
        <v>101</v>
      </c>
      <c r="I41" s="153">
        <f t="shared" ca="1" si="7"/>
        <v>65.201195708005358</v>
      </c>
      <c r="J41" s="153">
        <v>20</v>
      </c>
      <c r="K41" s="154">
        <f ca="1">(0.2083*(100/'Current Pivot Conditions'!$V$7)^1.852*N41^1.852/('Current Pivot Conditions'!$U$16)^4.8655)*0.43353*(E41/100)</f>
        <v>5.4103478794046023E-3</v>
      </c>
      <c r="L41" s="154">
        <f>((2*D41*'Current Pivot Conditions'!$V$8*E41)/(('Current Pivot Conditions'!$R$10+'Current Pivot Conditions'!$V$9)^2))</f>
        <v>5.4252634007070091</v>
      </c>
      <c r="M41" s="53">
        <f t="shared" ca="1" si="9"/>
        <v>5.23</v>
      </c>
      <c r="N41" s="155">
        <f t="shared" ca="1" si="8"/>
        <v>148.34999999999977</v>
      </c>
      <c r="O41" s="42"/>
    </row>
    <row r="42" spans="2:16" ht="15.75" customHeight="1">
      <c r="B42" s="298"/>
      <c r="C42" s="145">
        <v>37</v>
      </c>
      <c r="D42" s="146">
        <v>511</v>
      </c>
      <c r="E42" s="147">
        <f t="shared" si="1"/>
        <v>8.8999999999999773</v>
      </c>
      <c r="F42" s="148" t="s">
        <v>67</v>
      </c>
      <c r="G42" s="148" t="s">
        <v>68</v>
      </c>
      <c r="H42" s="148" t="s">
        <v>101</v>
      </c>
      <c r="I42" s="147">
        <f t="shared" ca="1" si="7"/>
        <v>65.196133294063927</v>
      </c>
      <c r="J42" s="147">
        <v>20</v>
      </c>
      <c r="K42" s="149">
        <f ca="1">(0.2083*(100/'Current Pivot Conditions'!$V$7)^1.852*N42^1.852/('Current Pivot Conditions'!$U$16)^4.8655)*0.43353*(E42/100)</f>
        <v>5.0624139414375434E-3</v>
      </c>
      <c r="L42" s="149">
        <f>((2*D42*'Current Pivot Conditions'!$V$8*E42)/(('Current Pivot Conditions'!$R$10+'Current Pivot Conditions'!$V$9)^2))</f>
        <v>5.5214291929122963</v>
      </c>
      <c r="M42" s="148">
        <f t="shared" ca="1" si="9"/>
        <v>5.23</v>
      </c>
      <c r="N42" s="150">
        <f t="shared" ca="1" si="8"/>
        <v>143.11999999999978</v>
      </c>
      <c r="O42" s="48"/>
    </row>
    <row r="43" spans="2:16">
      <c r="B43" s="298"/>
      <c r="C43" s="151">
        <v>38</v>
      </c>
      <c r="D43" s="152">
        <v>519.9</v>
      </c>
      <c r="E43" s="153">
        <f t="shared" si="1"/>
        <v>8.8999999999999773</v>
      </c>
      <c r="F43" s="53" t="s">
        <v>67</v>
      </c>
      <c r="G43" s="53" t="s">
        <v>68</v>
      </c>
      <c r="H43" s="53" t="s">
        <v>102</v>
      </c>
      <c r="I43" s="153">
        <f t="shared" ca="1" si="7"/>
        <v>65.191432234679965</v>
      </c>
      <c r="J43" s="153">
        <v>20</v>
      </c>
      <c r="K43" s="154">
        <f ca="1">(0.2083*(100/'Current Pivot Conditions'!$V$7)^1.852*N43^1.852/('Current Pivot Conditions'!$U$16)^4.8655)*0.43353*(E43/100)</f>
        <v>4.7010593839601463E-3</v>
      </c>
      <c r="L43" s="154">
        <f>((2*D43*'Current Pivot Conditions'!$V$8*E43)/(('Current Pivot Conditions'!$R$10+'Current Pivot Conditions'!$V$9)^2))</f>
        <v>5.6175949851176181</v>
      </c>
      <c r="M43" s="53">
        <f t="shared" ca="1" si="9"/>
        <v>5.61</v>
      </c>
      <c r="N43" s="155">
        <f t="shared" ca="1" si="8"/>
        <v>137.50999999999976</v>
      </c>
      <c r="O43" s="48"/>
    </row>
    <row r="44" spans="2:16">
      <c r="B44" s="299"/>
      <c r="C44" s="163">
        <v>39</v>
      </c>
      <c r="D44" s="164">
        <v>528.79999999999995</v>
      </c>
      <c r="E44" s="165">
        <f t="shared" si="1"/>
        <v>8.8999999999999773</v>
      </c>
      <c r="F44" s="166" t="s">
        <v>67</v>
      </c>
      <c r="G44" s="166" t="s">
        <v>68</v>
      </c>
      <c r="H44" s="166" t="s">
        <v>105</v>
      </c>
      <c r="I44" s="165">
        <f t="shared" ca="1" si="7"/>
        <v>65.187164134825252</v>
      </c>
      <c r="J44" s="165">
        <v>20</v>
      </c>
      <c r="K44" s="167">
        <f ca="1">(0.2083*(100/'Current Pivot Conditions'!$V$7)^1.852*N44^1.852/('Current Pivot Conditions'!$U$16)^4.8655)*0.43353*(E44/100)</f>
        <v>4.268099854707573E-3</v>
      </c>
      <c r="L44" s="167">
        <f>((2*D44*'Current Pivot Conditions'!$V$8*E44)/(('Current Pivot Conditions'!$R$10+'Current Pivot Conditions'!$V$9)^2))</f>
        <v>5.71376077732294</v>
      </c>
      <c r="M44" s="166">
        <f t="shared" ca="1" si="9"/>
        <v>6.99</v>
      </c>
      <c r="N44" s="168">
        <f t="shared" ca="1" si="8"/>
        <v>130.51999999999975</v>
      </c>
      <c r="O44" s="48"/>
      <c r="P44" s="48"/>
    </row>
    <row r="45" spans="2:16">
      <c r="B45" s="297" t="s">
        <v>345</v>
      </c>
      <c r="C45" s="140">
        <v>40</v>
      </c>
      <c r="D45" s="141">
        <v>542</v>
      </c>
      <c r="E45" s="162">
        <f t="shared" si="1"/>
        <v>13.200000000000045</v>
      </c>
      <c r="F45" s="142" t="s">
        <v>67</v>
      </c>
      <c r="G45" s="142" t="s">
        <v>68</v>
      </c>
      <c r="H45" s="142" t="s">
        <v>106</v>
      </c>
      <c r="I45" s="162">
        <f t="shared" ca="1" si="7"/>
        <v>65.181482502167754</v>
      </c>
      <c r="J45" s="162">
        <v>20</v>
      </c>
      <c r="K45" s="143">
        <f ca="1">(0.2083*(100/'Current Pivot Conditions'!$V$7)^1.852*N45^1.852/('Current Pivot Conditions'!$U$16)^4.8655)*0.43353*(E45/100)</f>
        <v>5.6816326575043164E-3</v>
      </c>
      <c r="L45" s="143">
        <f>((2*D45*'Current Pivot Conditions'!$V$8*E45)/(('Current Pivot Conditions'!$R$10+'Current Pivot Conditions'!$V$9)^2))</f>
        <v>8.6858798605448602</v>
      </c>
      <c r="M45" s="142">
        <f t="shared" ca="1" si="9"/>
        <v>7.4</v>
      </c>
      <c r="N45" s="144">
        <f t="shared" ca="1" si="8"/>
        <v>123.11999999999975</v>
      </c>
      <c r="O45" s="48"/>
      <c r="P45" s="48"/>
    </row>
    <row r="46" spans="2:16">
      <c r="B46" s="298"/>
      <c r="C46" s="145">
        <v>41</v>
      </c>
      <c r="D46" s="146">
        <v>552</v>
      </c>
      <c r="E46" s="147">
        <f t="shared" si="1"/>
        <v>10</v>
      </c>
      <c r="F46" s="148" t="s">
        <v>67</v>
      </c>
      <c r="G46" s="148" t="s">
        <v>68</v>
      </c>
      <c r="H46" s="148" t="s">
        <v>104</v>
      </c>
      <c r="I46" s="147">
        <f t="shared" ca="1" si="7"/>
        <v>65.177591447145574</v>
      </c>
      <c r="J46" s="147">
        <v>20</v>
      </c>
      <c r="K46" s="149">
        <f ca="1">(0.2083*(100/'Current Pivot Conditions'!$V$7)^1.852*N46^1.852/('Current Pivot Conditions'!$U$16)^4.8655)*0.43353*(E46/100)</f>
        <v>3.8910550221746831E-3</v>
      </c>
      <c r="L46" s="149">
        <f>((2*D46*'Current Pivot Conditions'!$V$8*E46)/(('Current Pivot Conditions'!$R$10+'Current Pivot Conditions'!$V$9)^2))</f>
        <v>6.7016181413126832</v>
      </c>
      <c r="M46" s="148">
        <f t="shared" ca="1" si="9"/>
        <v>6.53</v>
      </c>
      <c r="N46" s="150">
        <f t="shared" ca="1" si="8"/>
        <v>116.58999999999975</v>
      </c>
      <c r="O46" s="48"/>
      <c r="P46" s="48"/>
    </row>
    <row r="47" spans="2:16" ht="15.75" customHeight="1">
      <c r="B47" s="298"/>
      <c r="C47" s="151">
        <v>42</v>
      </c>
      <c r="D47" s="152">
        <v>562</v>
      </c>
      <c r="E47" s="153">
        <f t="shared" si="1"/>
        <v>10</v>
      </c>
      <c r="F47" s="53" t="s">
        <v>67</v>
      </c>
      <c r="G47" s="53" t="s">
        <v>68</v>
      </c>
      <c r="H47" s="53" t="s">
        <v>104</v>
      </c>
      <c r="I47" s="153">
        <f t="shared" ca="1" si="7"/>
        <v>65.174094343612893</v>
      </c>
      <c r="J47" s="153">
        <v>20</v>
      </c>
      <c r="K47" s="154">
        <f ca="1">(0.2083*(100/'Current Pivot Conditions'!$V$7)^1.852*N47^1.852/('Current Pivot Conditions'!$U$16)^4.8655)*0.43353*(E47/100)</f>
        <v>3.4971035326765093E-3</v>
      </c>
      <c r="L47" s="154">
        <f>((2*D47*'Current Pivot Conditions'!$V$8*E47)/(('Current Pivot Conditions'!$R$10+'Current Pivot Conditions'!$V$9)^2))</f>
        <v>6.8230242670611014</v>
      </c>
      <c r="M47" s="53">
        <f t="shared" ca="1" si="9"/>
        <v>6.53</v>
      </c>
      <c r="N47" s="155">
        <f t="shared" ca="1" si="8"/>
        <v>110.05999999999975</v>
      </c>
      <c r="O47" s="48"/>
    </row>
    <row r="48" spans="2:16">
      <c r="B48" s="298"/>
      <c r="C48" s="145">
        <v>43</v>
      </c>
      <c r="D48" s="146">
        <v>572</v>
      </c>
      <c r="E48" s="147">
        <f t="shared" si="1"/>
        <v>10</v>
      </c>
      <c r="F48" s="148" t="s">
        <v>67</v>
      </c>
      <c r="G48" s="148" t="s">
        <v>68</v>
      </c>
      <c r="H48" s="148" t="s">
        <v>105</v>
      </c>
      <c r="I48" s="147">
        <f t="shared" ca="1" si="7"/>
        <v>65.170997411998826</v>
      </c>
      <c r="J48" s="147">
        <v>20</v>
      </c>
      <c r="K48" s="149">
        <f ca="1">(0.2083*(100/'Current Pivot Conditions'!$V$7)^1.852*N48^1.852/('Current Pivot Conditions'!$U$16)^4.8655)*0.43353*(E48/100)</f>
        <v>3.096931614070121E-3</v>
      </c>
      <c r="L48" s="149">
        <f>((2*D48*'Current Pivot Conditions'!$V$8*E48)/(('Current Pivot Conditions'!$R$10+'Current Pivot Conditions'!$V$9)^2))</f>
        <v>6.9444303928095197</v>
      </c>
      <c r="M48" s="148">
        <f t="shared" ca="1" si="9"/>
        <v>6.99</v>
      </c>
      <c r="N48" s="150">
        <f t="shared" ca="1" si="8"/>
        <v>103.06999999999975</v>
      </c>
      <c r="O48" s="48"/>
    </row>
    <row r="49" spans="2:16">
      <c r="B49" s="298"/>
      <c r="C49" s="151">
        <v>44</v>
      </c>
      <c r="D49" s="152">
        <v>582</v>
      </c>
      <c r="E49" s="153">
        <f t="shared" si="1"/>
        <v>10</v>
      </c>
      <c r="F49" s="53" t="s">
        <v>67</v>
      </c>
      <c r="G49" s="53" t="s">
        <v>68</v>
      </c>
      <c r="H49" s="53" t="s">
        <v>105</v>
      </c>
      <c r="I49" s="153">
        <f t="shared" ca="1" si="7"/>
        <v>65.168278175719678</v>
      </c>
      <c r="J49" s="153">
        <v>20</v>
      </c>
      <c r="K49" s="154">
        <f ca="1">(0.2083*(100/'Current Pivot Conditions'!$V$7)^1.852*N49^1.852/('Current Pivot Conditions'!$U$16)^4.8655)*0.43353*(E49/100)</f>
        <v>2.7192362791452537E-3</v>
      </c>
      <c r="L49" s="154">
        <f>((2*D49*'Current Pivot Conditions'!$V$8*E49)/(('Current Pivot Conditions'!$R$10+'Current Pivot Conditions'!$V$9)^2))</f>
        <v>7.0658365185579379</v>
      </c>
      <c r="M49" s="53">
        <f t="shared" ca="1" si="9"/>
        <v>6.99</v>
      </c>
      <c r="N49" s="155">
        <f t="shared" ca="1" si="8"/>
        <v>96.079999999999757</v>
      </c>
      <c r="O49" s="48"/>
    </row>
    <row r="50" spans="2:16">
      <c r="B50" s="298"/>
      <c r="C50" s="145">
        <v>45</v>
      </c>
      <c r="D50" s="146">
        <v>592</v>
      </c>
      <c r="E50" s="147">
        <f t="shared" si="1"/>
        <v>10</v>
      </c>
      <c r="F50" s="148" t="s">
        <v>67</v>
      </c>
      <c r="G50" s="148" t="s">
        <v>68</v>
      </c>
      <c r="H50" s="148" t="s">
        <v>105</v>
      </c>
      <c r="I50" s="147">
        <f t="shared" ca="1" si="7"/>
        <v>65.165913923136841</v>
      </c>
      <c r="J50" s="147">
        <v>20</v>
      </c>
      <c r="K50" s="149">
        <f ca="1">(0.2083*(100/'Current Pivot Conditions'!$V$7)^1.852*N50^1.852/('Current Pivot Conditions'!$U$16)^4.8655)*0.43353*(E50/100)</f>
        <v>2.3642525828354256E-3</v>
      </c>
      <c r="L50" s="149">
        <f>((2*D50*'Current Pivot Conditions'!$V$8*E50)/(('Current Pivot Conditions'!$R$10+'Current Pivot Conditions'!$V$9)^2))</f>
        <v>7.1872426443063562</v>
      </c>
      <c r="M50" s="148">
        <f t="shared" ca="1" si="9"/>
        <v>6.99</v>
      </c>
      <c r="N50" s="150">
        <f t="shared" ca="1" si="8"/>
        <v>89.089999999999762</v>
      </c>
      <c r="O50" s="48"/>
    </row>
    <row r="51" spans="2:16">
      <c r="B51" s="299"/>
      <c r="C51" s="156">
        <v>46</v>
      </c>
      <c r="D51" s="157">
        <v>602</v>
      </c>
      <c r="E51" s="158">
        <f t="shared" si="1"/>
        <v>10</v>
      </c>
      <c r="F51" s="159" t="s">
        <v>67</v>
      </c>
      <c r="G51" s="159" t="s">
        <v>68</v>
      </c>
      <c r="H51" s="159" t="s">
        <v>109</v>
      </c>
      <c r="I51" s="158">
        <f t="shared" ca="1" si="7"/>
        <v>65.163973317861604</v>
      </c>
      <c r="J51" s="158">
        <v>20</v>
      </c>
      <c r="K51" s="160">
        <f ca="1">(0.2083*(100/'Current Pivot Conditions'!$V$7)^1.852*N51^1.852/('Current Pivot Conditions'!$U$16)^4.8655)*0.43353*(E51/100)</f>
        <v>1.9406052752303584E-3</v>
      </c>
      <c r="L51" s="160">
        <f>((2*D51*'Current Pivot Conditions'!$V$8*E51)/(('Current Pivot Conditions'!$R$10+'Current Pivot Conditions'!$V$9)^2))</f>
        <v>7.3086487700547744</v>
      </c>
      <c r="M51" s="159">
        <f t="shared" ca="1" si="9"/>
        <v>9.01</v>
      </c>
      <c r="N51" s="161">
        <f ca="1">N50-M51</f>
        <v>80.079999999999757</v>
      </c>
      <c r="O51" s="48"/>
    </row>
    <row r="52" spans="2:16">
      <c r="B52" s="17"/>
      <c r="C52" s="169"/>
      <c r="D52" s="169"/>
      <c r="E52" s="169"/>
      <c r="F52" s="38"/>
      <c r="G52" s="38"/>
      <c r="H52" s="38"/>
      <c r="I52" s="38"/>
      <c r="J52" s="38"/>
      <c r="K52" s="38"/>
      <c r="L52" s="38"/>
      <c r="M52" s="38"/>
      <c r="N52" s="38"/>
      <c r="O52" s="48"/>
      <c r="P52" s="48"/>
    </row>
    <row r="53" spans="2:16">
      <c r="B53" s="284" t="s">
        <v>173</v>
      </c>
      <c r="C53" s="285"/>
      <c r="D53" s="285"/>
      <c r="E53" s="285"/>
      <c r="F53" s="285"/>
      <c r="G53" s="285"/>
      <c r="H53" s="285"/>
      <c r="I53" s="285"/>
      <c r="J53" s="285"/>
      <c r="K53" s="285"/>
      <c r="L53" s="285"/>
      <c r="M53" s="285"/>
      <c r="N53" s="286"/>
      <c r="O53" s="48"/>
      <c r="P53" s="48"/>
    </row>
    <row r="54" spans="2:16">
      <c r="B54" s="279"/>
      <c r="C54" s="276" t="s">
        <v>62</v>
      </c>
      <c r="D54" s="277"/>
      <c r="E54" s="277"/>
      <c r="F54" s="135" t="s">
        <v>59</v>
      </c>
      <c r="G54" s="276" t="s">
        <v>61</v>
      </c>
      <c r="H54" s="277"/>
      <c r="I54" s="277"/>
      <c r="J54" s="278"/>
      <c r="K54" s="276" t="s">
        <v>60</v>
      </c>
      <c r="L54" s="277"/>
      <c r="M54" s="277"/>
      <c r="N54" s="135" t="s">
        <v>179</v>
      </c>
      <c r="O54" s="48"/>
      <c r="P54" s="48"/>
    </row>
    <row r="55" spans="2:16">
      <c r="B55" s="280"/>
      <c r="C55" s="136" t="s">
        <v>53</v>
      </c>
      <c r="D55" s="137" t="s">
        <v>54</v>
      </c>
      <c r="E55" s="137" t="s">
        <v>55</v>
      </c>
      <c r="F55" s="139" t="s">
        <v>174</v>
      </c>
      <c r="G55" s="282" t="s">
        <v>176</v>
      </c>
      <c r="H55" s="283"/>
      <c r="I55" s="137" t="s">
        <v>178</v>
      </c>
      <c r="J55" s="138" t="s">
        <v>177</v>
      </c>
      <c r="K55" s="136" t="s">
        <v>171</v>
      </c>
      <c r="L55" s="137" t="s">
        <v>57</v>
      </c>
      <c r="M55" s="138" t="s">
        <v>56</v>
      </c>
      <c r="N55" s="170" t="s">
        <v>184</v>
      </c>
      <c r="O55" s="48"/>
      <c r="P55" s="48"/>
    </row>
    <row r="56" spans="2:16">
      <c r="B56" s="281"/>
      <c r="C56" s="49" t="s">
        <v>64</v>
      </c>
      <c r="D56" s="50" t="s">
        <v>63</v>
      </c>
      <c r="E56" s="50"/>
      <c r="F56" s="47" t="s">
        <v>175</v>
      </c>
      <c r="G56" s="272" t="s">
        <v>65</v>
      </c>
      <c r="H56" s="273"/>
      <c r="I56" s="50" t="s">
        <v>65</v>
      </c>
      <c r="J56" s="46" t="s">
        <v>65</v>
      </c>
      <c r="K56" s="49" t="s">
        <v>40</v>
      </c>
      <c r="L56" s="50" t="s">
        <v>40</v>
      </c>
      <c r="M56" s="46" t="s">
        <v>40</v>
      </c>
      <c r="N56" s="51" t="s">
        <v>63</v>
      </c>
      <c r="O56" s="48"/>
      <c r="P56" s="48"/>
    </row>
    <row r="57" spans="2:16">
      <c r="B57" s="171"/>
      <c r="C57" s="172">
        <v>80</v>
      </c>
      <c r="D57" s="173">
        <v>607</v>
      </c>
      <c r="E57" s="173" t="s">
        <v>241</v>
      </c>
      <c r="F57" s="174" t="s">
        <v>180</v>
      </c>
      <c r="G57" s="274">
        <f ca="1">I51</f>
        <v>65.163973317861604</v>
      </c>
      <c r="H57" s="275"/>
      <c r="I57" s="175">
        <v>0</v>
      </c>
      <c r="J57" s="175">
        <f ca="1">G57+I57</f>
        <v>65.163973317861604</v>
      </c>
      <c r="K57" s="176">
        <f ca="1">N51</f>
        <v>80.079999999999757</v>
      </c>
      <c r="L57" s="176">
        <f ca="1">INDEX(INDIRECT("Flow_"&amp;$E$57),MATCH(J57,INDIRECT("Pressure_"&amp;$E$57),TRUE),MATCH(F57,INDIRECT("Nozzle_"&amp;$E$57),TRUE))</f>
        <v>69</v>
      </c>
      <c r="M57" s="177">
        <f>((2*D57*'Current Pivot Conditions'!$V$8*'Current Pivot Conditions'!V9)/(('Current Pivot Conditions'!$R$10+'Current Pivot Conditions'!$V$9)^2))</f>
        <v>70.745777596118245</v>
      </c>
      <c r="N57" s="178">
        <f ca="1">INDEX(INDIRECT("Range_"&amp;$E$57),MATCH(J57,INDIRECT("Pressure_"&amp;$E$57),TRUE),MATCH(F57,INDIRECT("Nozzle_"&amp;$E$57),TRUE))/2</f>
        <v>113.5</v>
      </c>
      <c r="O57" s="48"/>
      <c r="P57" s="48"/>
    </row>
    <row r="58" spans="2:16">
      <c r="C58" s="42"/>
      <c r="D58" s="48"/>
      <c r="E58" s="48"/>
      <c r="F58" s="48"/>
      <c r="G58" s="48"/>
      <c r="H58" s="48"/>
      <c r="I58" s="48"/>
      <c r="J58" s="48"/>
      <c r="K58" s="48"/>
      <c r="L58" s="48"/>
      <c r="M58" s="48"/>
      <c r="N58" s="48"/>
      <c r="O58" s="48"/>
      <c r="P58" s="48"/>
    </row>
    <row r="89" ht="15.75" customHeight="1"/>
    <row r="129" ht="15.75" customHeight="1"/>
    <row r="169" ht="15.75" customHeight="1"/>
  </sheetData>
  <mergeCells count="37">
    <mergeCell ref="B6:B14"/>
    <mergeCell ref="B15:B24"/>
    <mergeCell ref="B25:B44"/>
    <mergeCell ref="B45:B51"/>
    <mergeCell ref="Q19:R19"/>
    <mergeCell ref="Q20:R20"/>
    <mergeCell ref="Q21:R21"/>
    <mergeCell ref="R12:S12"/>
    <mergeCell ref="Q25:R25"/>
    <mergeCell ref="B53:N53"/>
    <mergeCell ref="P6:W6"/>
    <mergeCell ref="P14:W14"/>
    <mergeCell ref="S15:T15"/>
    <mergeCell ref="U15:V15"/>
    <mergeCell ref="Q15:R15"/>
    <mergeCell ref="R11:S11"/>
    <mergeCell ref="V7:W7"/>
    <mergeCell ref="V11:W11"/>
    <mergeCell ref="V12:W12"/>
    <mergeCell ref="Q16:R16"/>
    <mergeCell ref="Q17:R17"/>
    <mergeCell ref="Q18:R18"/>
    <mergeCell ref="Q24:R24"/>
    <mergeCell ref="Q23:R23"/>
    <mergeCell ref="Q22:R22"/>
    <mergeCell ref="B1:N1"/>
    <mergeCell ref="C2:G2"/>
    <mergeCell ref="B2:B4"/>
    <mergeCell ref="I2:K2"/>
    <mergeCell ref="L2:N2"/>
    <mergeCell ref="G56:H56"/>
    <mergeCell ref="G57:H57"/>
    <mergeCell ref="G54:J54"/>
    <mergeCell ref="K54:M54"/>
    <mergeCell ref="B54:B56"/>
    <mergeCell ref="C54:E54"/>
    <mergeCell ref="G55:H55"/>
  </mergeCells>
  <dataValidations count="9">
    <dataValidation type="list" allowBlank="1" showInputMessage="1" showErrorMessage="1" sqref="R12:S12">
      <formula1>INDIRECT("Nozzle_"&amp;V11)</formula1>
    </dataValidation>
    <dataValidation type="list" allowBlank="1" showInputMessage="1" showErrorMessage="1" sqref="E57">
      <formula1>INDIRECT("Endgun_"&amp;$V$12)</formula1>
    </dataValidation>
    <dataValidation type="list" allowBlank="1" showInputMessage="1" showErrorMessage="1" sqref="F57">
      <formula1>INDIRECT("Nozzle_"&amp;$E$57)</formula1>
    </dataValidation>
    <dataValidation type="list" allowBlank="1" showInputMessage="1" showErrorMessage="1" sqref="G6:G51">
      <formula1>INDIRECT("Data_"&amp;F6)</formula1>
    </dataValidation>
    <dataValidation type="list" allowBlank="1" showInputMessage="1" showErrorMessage="1" sqref="R11:S11">
      <formula1>Manufacturer_Sprinkler</formula1>
    </dataValidation>
    <dataValidation type="list" allowBlank="1" showInputMessage="1" showErrorMessage="1" sqref="V11:W11">
      <formula1>Manufacturer_Nozzle</formula1>
    </dataValidation>
    <dataValidation type="list" allowBlank="1" showInputMessage="1" showErrorMessage="1" sqref="V12:W12">
      <formula1>Manufacturer_Endgun</formula1>
    </dataValidation>
    <dataValidation type="list" allowBlank="1" showInputMessage="1" showErrorMessage="1" sqref="F6:F51">
      <formula1>INDIRECT("Sprinkler_"&amp;$R$11)</formula1>
    </dataValidation>
    <dataValidation type="list" allowBlank="1" showInputMessage="1" showErrorMessage="1" sqref="H6:H51">
      <formula1>Nozzle_3TN</formula1>
    </dataValidation>
  </dataValidations>
  <printOptions horizontalCentered="1"/>
  <pageMargins left="0" right="0" top="0.5" bottom="0.5" header="0.51180555555555596" footer="0.51180555555555596"/>
  <pageSetup orientation="portrait" r:id="rId1"/>
  <headerFooter alignWithMargins="0"/>
  <rowBreaks count="1" manualBreakCount="1">
    <brk id="44" max="14" man="1"/>
  </rowBreaks>
</worksheet>
</file>

<file path=xl/worksheets/sheet4.xml><?xml version="1.0" encoding="utf-8"?>
<worksheet xmlns="http://schemas.openxmlformats.org/spreadsheetml/2006/main" xmlns:r="http://schemas.openxmlformats.org/officeDocument/2006/relationships">
  <dimension ref="B1:X169"/>
  <sheetViews>
    <sheetView showGridLines="0" view="pageBreakPreview" zoomScaleNormal="100" zoomScaleSheetLayoutView="100" workbookViewId="0">
      <selection activeCell="P1" sqref="P1"/>
    </sheetView>
  </sheetViews>
  <sheetFormatPr defaultRowHeight="15.75"/>
  <cols>
    <col min="1" max="1" width="1.42578125" style="2" customWidth="1"/>
    <col min="2" max="2" width="2.85546875" style="2" customWidth="1"/>
    <col min="3" max="3" width="3.5703125" style="2" customWidth="1"/>
    <col min="4" max="4" width="7.140625" style="2" customWidth="1"/>
    <col min="5" max="5" width="10" style="2" customWidth="1"/>
    <col min="6" max="6" width="7.28515625" style="2" customWidth="1"/>
    <col min="7" max="7" width="7.140625" style="2" customWidth="1"/>
    <col min="8" max="8" width="7" style="2" customWidth="1"/>
    <col min="9" max="9" width="7.140625" style="2" customWidth="1"/>
    <col min="10" max="10" width="10" style="2" customWidth="1"/>
    <col min="11" max="11" width="8.5703125" style="2" customWidth="1"/>
    <col min="12" max="12" width="7.140625" style="2" customWidth="1"/>
    <col min="13" max="14" width="8.5703125" style="2" customWidth="1"/>
    <col min="15" max="15" width="1.42578125" style="2" customWidth="1"/>
    <col min="16" max="23" width="10.7109375" style="2" customWidth="1"/>
    <col min="24" max="16384" width="9.140625" style="2"/>
  </cols>
  <sheetData>
    <row r="1" spans="2:23">
      <c r="B1" s="284" t="s">
        <v>259</v>
      </c>
      <c r="C1" s="285"/>
      <c r="D1" s="285"/>
      <c r="E1" s="285"/>
      <c r="F1" s="285"/>
      <c r="G1" s="285"/>
      <c r="H1" s="285"/>
      <c r="I1" s="285"/>
      <c r="J1" s="285"/>
      <c r="K1" s="285"/>
      <c r="L1" s="285"/>
      <c r="M1" s="285"/>
      <c r="N1" s="286"/>
    </row>
    <row r="2" spans="2:23" ht="15.75" customHeight="1">
      <c r="B2" s="288"/>
      <c r="C2" s="287" t="s">
        <v>62</v>
      </c>
      <c r="D2" s="287"/>
      <c r="E2" s="287"/>
      <c r="F2" s="287"/>
      <c r="G2" s="287"/>
      <c r="H2" s="228" t="s">
        <v>59</v>
      </c>
      <c r="I2" s="276" t="s">
        <v>61</v>
      </c>
      <c r="J2" s="277"/>
      <c r="K2" s="278"/>
      <c r="L2" s="276" t="s">
        <v>60</v>
      </c>
      <c r="M2" s="277"/>
      <c r="N2" s="278"/>
    </row>
    <row r="3" spans="2:23">
      <c r="B3" s="288"/>
      <c r="C3" s="233" t="s">
        <v>53</v>
      </c>
      <c r="D3" s="234" t="s">
        <v>54</v>
      </c>
      <c r="E3" s="235" t="s">
        <v>362</v>
      </c>
      <c r="F3" s="234" t="s">
        <v>55</v>
      </c>
      <c r="G3" s="138" t="s">
        <v>58</v>
      </c>
      <c r="H3" s="139" t="s">
        <v>55</v>
      </c>
      <c r="I3" s="233" t="s">
        <v>296</v>
      </c>
      <c r="J3" s="234" t="s">
        <v>297</v>
      </c>
      <c r="K3" s="138" t="s">
        <v>298</v>
      </c>
      <c r="L3" s="233" t="s">
        <v>56</v>
      </c>
      <c r="M3" s="234" t="s">
        <v>57</v>
      </c>
      <c r="N3" s="138" t="s">
        <v>171</v>
      </c>
    </row>
    <row r="4" spans="2:23">
      <c r="B4" s="288"/>
      <c r="C4" s="229" t="s">
        <v>64</v>
      </c>
      <c r="D4" s="230" t="s">
        <v>63</v>
      </c>
      <c r="E4" s="230" t="s">
        <v>63</v>
      </c>
      <c r="F4" s="230"/>
      <c r="G4" s="46"/>
      <c r="H4" s="47"/>
      <c r="I4" s="229" t="s">
        <v>65</v>
      </c>
      <c r="J4" s="230" t="s">
        <v>65</v>
      </c>
      <c r="K4" s="230" t="s">
        <v>65</v>
      </c>
      <c r="L4" s="229" t="s">
        <v>40</v>
      </c>
      <c r="M4" s="230" t="s">
        <v>40</v>
      </c>
      <c r="N4" s="46" t="s">
        <v>40</v>
      </c>
      <c r="O4" s="220"/>
    </row>
    <row r="5" spans="2:23" ht="14.25" hidden="1" customHeight="1">
      <c r="B5" s="236" t="s">
        <v>66</v>
      </c>
      <c r="C5" s="140">
        <v>0</v>
      </c>
      <c r="D5" s="141">
        <v>0</v>
      </c>
      <c r="E5" s="142"/>
      <c r="F5" s="142"/>
      <c r="G5" s="142"/>
      <c r="H5" s="142"/>
      <c r="I5" s="142">
        <f>'Proposed Pivot Conditions'!R8</f>
        <v>25.9</v>
      </c>
      <c r="J5" s="142"/>
      <c r="K5" s="142"/>
      <c r="L5" s="143"/>
      <c r="M5" s="142"/>
      <c r="N5" s="144">
        <f>'Proposed Pivot Conditions'!V8</f>
        <v>300</v>
      </c>
      <c r="O5" s="40"/>
    </row>
    <row r="6" spans="2:23">
      <c r="B6" s="297" t="s">
        <v>66</v>
      </c>
      <c r="C6" s="233">
        <v>1</v>
      </c>
      <c r="D6" s="237">
        <v>33.700000000000003</v>
      </c>
      <c r="E6" s="238">
        <f>D6-D5</f>
        <v>33.700000000000003</v>
      </c>
      <c r="F6" s="234" t="s">
        <v>67</v>
      </c>
      <c r="G6" s="234" t="s">
        <v>68</v>
      </c>
      <c r="H6" s="234" t="s">
        <v>89</v>
      </c>
      <c r="I6" s="238">
        <f ca="1">I5-K6</f>
        <v>25.825206407286217</v>
      </c>
      <c r="J6" s="238">
        <v>20</v>
      </c>
      <c r="K6" s="239">
        <f ca="1">(0.2083*(100/'Proposed Pivot Conditions'!$V$7)^1.852*N6^1.852/('Proposed Pivot Conditions'!$U$16)^4.8655)*0.43353*(E6/100)</f>
        <v>7.4793592713783483E-2</v>
      </c>
      <c r="L6" s="239">
        <f>((2*D6*'Proposed Pivot Conditions'!$V$8*E6)/(('Proposed Pivot Conditions'!$R$10+'Proposed Pivot Conditions'!$V$9)^2))</f>
        <v>1.3787972295122104</v>
      </c>
      <c r="M6" s="234">
        <f t="shared" ref="M6:M51" ca="1" si="0">INDEX(INDIRECT("Flow_"&amp;$R$12),MATCH(H6,INDIRECT("Nozzle_"&amp;$R$12),0),MATCH(J6,INDIRECT("Pressure_"&amp;$R$12),0))</f>
        <v>1.49</v>
      </c>
      <c r="N6" s="240">
        <f ca="1">N5-M6</f>
        <v>298.51</v>
      </c>
      <c r="O6" s="40"/>
      <c r="P6" s="284" t="s">
        <v>78</v>
      </c>
      <c r="Q6" s="285"/>
      <c r="R6" s="285"/>
      <c r="S6" s="285"/>
      <c r="T6" s="285"/>
      <c r="U6" s="285"/>
      <c r="V6" s="285"/>
      <c r="W6" s="286"/>
    </row>
    <row r="7" spans="2:23">
      <c r="B7" s="298"/>
      <c r="C7" s="151">
        <v>2</v>
      </c>
      <c r="D7" s="152">
        <v>51.5</v>
      </c>
      <c r="E7" s="153">
        <f t="shared" ref="E7:E51" si="1">D7-D6</f>
        <v>17.799999999999997</v>
      </c>
      <c r="F7" s="53" t="s">
        <v>67</v>
      </c>
      <c r="G7" s="53" t="s">
        <v>68</v>
      </c>
      <c r="H7" s="53" t="s">
        <v>89</v>
      </c>
      <c r="I7" s="153">
        <f t="shared" ref="I7:I51" ca="1" si="2">I6-K7</f>
        <v>25.786065602836384</v>
      </c>
      <c r="J7" s="153">
        <v>20</v>
      </c>
      <c r="K7" s="154">
        <f ca="1">(0.2083*(100/'Proposed Pivot Conditions'!$V$7)^1.852*N7^1.852/('Proposed Pivot Conditions'!$U$16)^4.8655)*0.43353*(E7/100)</f>
        <v>3.9140804449833561E-2</v>
      </c>
      <c r="L7" s="154">
        <f>((2*D7*'Proposed Pivot Conditions'!$V$8*E7)/(('Proposed Pivot Conditions'!$R$10+'Proposed Pivot Conditions'!$V$9)^2))</f>
        <v>1.1129299547357492</v>
      </c>
      <c r="M7" s="53">
        <f t="shared" ca="1" si="0"/>
        <v>1.49</v>
      </c>
      <c r="N7" s="155">
        <f t="shared" ref="N7:N22" ca="1" si="3">N6-M7</f>
        <v>297.02</v>
      </c>
      <c r="O7" s="40"/>
      <c r="P7" s="179" t="s">
        <v>69</v>
      </c>
      <c r="Q7" s="180"/>
      <c r="R7" s="181">
        <v>3</v>
      </c>
      <c r="S7" s="182"/>
      <c r="T7" s="179" t="s">
        <v>71</v>
      </c>
      <c r="U7" s="180"/>
      <c r="V7" s="291">
        <v>140</v>
      </c>
      <c r="W7" s="292"/>
    </row>
    <row r="8" spans="2:23">
      <c r="B8" s="298"/>
      <c r="C8" s="145">
        <v>3</v>
      </c>
      <c r="D8" s="146">
        <v>68.7</v>
      </c>
      <c r="E8" s="147">
        <f t="shared" si="1"/>
        <v>17.200000000000003</v>
      </c>
      <c r="F8" s="148" t="s">
        <v>67</v>
      </c>
      <c r="G8" s="148" t="s">
        <v>68</v>
      </c>
      <c r="H8" s="148" t="s">
        <v>89</v>
      </c>
      <c r="I8" s="147">
        <f t="shared" ca="1" si="2"/>
        <v>25.748594782438893</v>
      </c>
      <c r="J8" s="147">
        <v>20</v>
      </c>
      <c r="K8" s="149">
        <f ca="1">(0.2083*(100/'Proposed Pivot Conditions'!$V$7)^1.852*N8^1.852/('Proposed Pivot Conditions'!$U$16)^4.8655)*0.43353*(E8/100)</f>
        <v>3.7470820397489689E-2</v>
      </c>
      <c r="L8" s="149">
        <f>((2*D8*'Proposed Pivot Conditions'!$V$8*E8)/(('Proposed Pivot Conditions'!$R$10+'Proposed Pivot Conditions'!$V$9)^2))</f>
        <v>1.4345833442936089</v>
      </c>
      <c r="M8" s="148">
        <f t="shared" ca="1" si="0"/>
        <v>1.49</v>
      </c>
      <c r="N8" s="150">
        <f t="shared" ca="1" si="3"/>
        <v>295.52999999999997</v>
      </c>
      <c r="O8" s="40"/>
      <c r="P8" s="183" t="s">
        <v>258</v>
      </c>
      <c r="Q8" s="184"/>
      <c r="R8" s="185">
        <v>25.9</v>
      </c>
      <c r="S8" s="45" t="s">
        <v>36</v>
      </c>
      <c r="T8" s="183" t="s">
        <v>249</v>
      </c>
      <c r="U8" s="184"/>
      <c r="V8" s="185">
        <v>300</v>
      </c>
      <c r="W8" s="45" t="s">
        <v>34</v>
      </c>
    </row>
    <row r="9" spans="2:23">
      <c r="B9" s="298"/>
      <c r="C9" s="151">
        <v>4</v>
      </c>
      <c r="D9" s="152">
        <v>85.9</v>
      </c>
      <c r="E9" s="153">
        <f t="shared" si="1"/>
        <v>17.200000000000003</v>
      </c>
      <c r="F9" s="53" t="s">
        <v>67</v>
      </c>
      <c r="G9" s="53" t="s">
        <v>68</v>
      </c>
      <c r="H9" s="53" t="s">
        <v>90</v>
      </c>
      <c r="I9" s="153">
        <f t="shared" ca="1" si="2"/>
        <v>25.711531521416227</v>
      </c>
      <c r="J9" s="153">
        <v>20</v>
      </c>
      <c r="K9" s="154">
        <f ca="1">(0.2083*(100/'Proposed Pivot Conditions'!$V$7)^1.852*N9^1.852/('Proposed Pivot Conditions'!$U$16)^4.8655)*0.43353*(E9/100)</f>
        <v>3.7063261022665307E-2</v>
      </c>
      <c r="L9" s="154">
        <f>((2*D9*'Proposed Pivot Conditions'!$V$8*E9)/(('Proposed Pivot Conditions'!$R$10+'Proposed Pivot Conditions'!$V$9)^2))</f>
        <v>1.7937512267077291</v>
      </c>
      <c r="M9" s="53">
        <f t="shared" ca="1" si="0"/>
        <v>1.74</v>
      </c>
      <c r="N9" s="155">
        <f t="shared" ca="1" si="3"/>
        <v>293.78999999999996</v>
      </c>
      <c r="O9" s="40"/>
      <c r="P9" s="183" t="s">
        <v>72</v>
      </c>
      <c r="Q9" s="184"/>
      <c r="R9" s="186">
        <f>V8/((PI()*(R10+V9)^2)/43560)</f>
        <v>8.4168309210268877</v>
      </c>
      <c r="S9" s="45" t="s">
        <v>74</v>
      </c>
      <c r="T9" s="183" t="s">
        <v>250</v>
      </c>
      <c r="U9" s="184"/>
      <c r="V9" s="185">
        <v>96</v>
      </c>
      <c r="W9" s="45" t="s">
        <v>37</v>
      </c>
    </row>
    <row r="10" spans="2:23">
      <c r="B10" s="298"/>
      <c r="C10" s="145">
        <v>5</v>
      </c>
      <c r="D10" s="146">
        <v>103.3</v>
      </c>
      <c r="E10" s="147">
        <f t="shared" si="1"/>
        <v>17.399999999999991</v>
      </c>
      <c r="F10" s="148" t="s">
        <v>67</v>
      </c>
      <c r="G10" s="148" t="s">
        <v>68</v>
      </c>
      <c r="H10" s="148" t="s">
        <v>91</v>
      </c>
      <c r="I10" s="147">
        <f t="shared" ca="1" si="2"/>
        <v>25.674503934978844</v>
      </c>
      <c r="J10" s="147">
        <v>20</v>
      </c>
      <c r="K10" s="149">
        <f ca="1">(0.2083*(100/'Proposed Pivot Conditions'!$V$7)^1.852*N10^1.852/('Proposed Pivot Conditions'!$U$16)^4.8655)*0.43353*(E10/100)</f>
        <v>3.7027586437381875E-2</v>
      </c>
      <c r="L10" s="149">
        <f>((2*D10*'Proposed Pivot Conditions'!$V$8*E10)/(('Proposed Pivot Conditions'!$R$10+'Proposed Pivot Conditions'!$V$9)^2))</f>
        <v>2.182177985427217</v>
      </c>
      <c r="M10" s="148">
        <f t="shared" ca="1" si="0"/>
        <v>1.98</v>
      </c>
      <c r="N10" s="150">
        <f t="shared" ca="1" si="3"/>
        <v>291.80999999999995</v>
      </c>
      <c r="O10" s="40"/>
      <c r="P10" s="183" t="s">
        <v>70</v>
      </c>
      <c r="Q10" s="184"/>
      <c r="R10" s="185">
        <v>607</v>
      </c>
      <c r="S10" s="45" t="s">
        <v>37</v>
      </c>
      <c r="T10" s="183" t="s">
        <v>73</v>
      </c>
      <c r="U10" s="184"/>
      <c r="V10" s="185">
        <f>R10+V9</f>
        <v>703</v>
      </c>
      <c r="W10" s="45" t="s">
        <v>37</v>
      </c>
    </row>
    <row r="11" spans="2:23">
      <c r="B11" s="298"/>
      <c r="C11" s="151">
        <v>6</v>
      </c>
      <c r="D11" s="152">
        <v>120.5</v>
      </c>
      <c r="E11" s="153">
        <f t="shared" si="1"/>
        <v>17.200000000000003</v>
      </c>
      <c r="F11" s="53" t="s">
        <v>67</v>
      </c>
      <c r="G11" s="53" t="s">
        <v>68</v>
      </c>
      <c r="H11" s="53" t="s">
        <v>93</v>
      </c>
      <c r="I11" s="153">
        <f t="shared" ca="1" si="2"/>
        <v>25.638475965341943</v>
      </c>
      <c r="J11" s="153">
        <v>20</v>
      </c>
      <c r="K11" s="154">
        <f ca="1">(0.2083*(100/'Proposed Pivot Conditions'!$V$7)^1.852*N11^1.852/('Proposed Pivot Conditions'!$U$16)^4.8655)*0.43353*(E11/100)</f>
        <v>3.6027969636901011E-2</v>
      </c>
      <c r="L11" s="154">
        <f>((2*D11*'Proposed Pivot Conditions'!$V$8*E11)/(('Proposed Pivot Conditions'!$R$10+'Proposed Pivot Conditions'!$V$9)^2))</f>
        <v>2.5162633622617157</v>
      </c>
      <c r="M11" s="53">
        <f t="shared" ca="1" si="0"/>
        <v>2.48</v>
      </c>
      <c r="N11" s="155">
        <f t="shared" ca="1" si="3"/>
        <v>289.32999999999993</v>
      </c>
      <c r="O11" s="40"/>
      <c r="P11" s="183" t="s">
        <v>363</v>
      </c>
      <c r="Q11" s="184"/>
      <c r="R11" s="289" t="s">
        <v>80</v>
      </c>
      <c r="S11" s="290"/>
      <c r="T11" s="183" t="s">
        <v>251</v>
      </c>
      <c r="U11" s="184"/>
      <c r="V11" s="289" t="s">
        <v>80</v>
      </c>
      <c r="W11" s="290"/>
    </row>
    <row r="12" spans="2:23">
      <c r="B12" s="298"/>
      <c r="C12" s="145">
        <v>7</v>
      </c>
      <c r="D12" s="146">
        <v>138</v>
      </c>
      <c r="E12" s="147">
        <f t="shared" si="1"/>
        <v>17.5</v>
      </c>
      <c r="F12" s="148" t="s">
        <v>67</v>
      </c>
      <c r="G12" s="148" t="s">
        <v>68</v>
      </c>
      <c r="H12" s="148" t="s">
        <v>94</v>
      </c>
      <c r="I12" s="147">
        <f t="shared" ca="1" si="2"/>
        <v>25.602471548258073</v>
      </c>
      <c r="J12" s="147">
        <v>20</v>
      </c>
      <c r="K12" s="149">
        <f ca="1">(0.2083*(100/'Proposed Pivot Conditions'!$V$7)^1.852*N12^1.852/('Proposed Pivot Conditions'!$U$16)^4.8655)*0.43353*(E12/100)</f>
        <v>3.6004417083871088E-2</v>
      </c>
      <c r="L12" s="149">
        <f>((2*D12*'Proposed Pivot Conditions'!$V$8*E12)/(('Proposed Pivot Conditions'!$R$10+'Proposed Pivot Conditions'!$V$9)^2))</f>
        <v>2.9319579368242992</v>
      </c>
      <c r="M12" s="148">
        <f t="shared" ca="1" si="0"/>
        <v>2.79</v>
      </c>
      <c r="N12" s="150">
        <f t="shared" ca="1" si="3"/>
        <v>286.53999999999991</v>
      </c>
      <c r="O12" s="40"/>
      <c r="P12" s="187" t="s">
        <v>252</v>
      </c>
      <c r="Q12" s="188"/>
      <c r="R12" s="293" t="s">
        <v>256</v>
      </c>
      <c r="S12" s="294"/>
      <c r="T12" s="187" t="s">
        <v>253</v>
      </c>
      <c r="U12" s="188"/>
      <c r="V12" s="293" t="s">
        <v>80</v>
      </c>
      <c r="W12" s="294"/>
    </row>
    <row r="13" spans="2:23">
      <c r="B13" s="298"/>
      <c r="C13" s="151">
        <v>8</v>
      </c>
      <c r="D13" s="152">
        <v>155.80000000000001</v>
      </c>
      <c r="E13" s="153">
        <f t="shared" si="1"/>
        <v>17.800000000000011</v>
      </c>
      <c r="F13" s="53" t="s">
        <v>67</v>
      </c>
      <c r="G13" s="53" t="s">
        <v>68</v>
      </c>
      <c r="H13" s="53" t="s">
        <v>95</v>
      </c>
      <c r="I13" s="153">
        <f t="shared" ca="1" si="2"/>
        <v>25.566580290936884</v>
      </c>
      <c r="J13" s="153">
        <v>20</v>
      </c>
      <c r="K13" s="154">
        <f ca="1">(0.2083*(100/'Proposed Pivot Conditions'!$V$7)^1.852*N13^1.852/('Proposed Pivot Conditions'!$U$16)^4.8655)*0.43353*(E13/100)</f>
        <v>3.5891257321188433E-2</v>
      </c>
      <c r="L13" s="154">
        <f>((2*D13*'Proposed Pivot Conditions'!$V$8*E13)/(('Proposed Pivot Conditions'!$R$10+'Proposed Pivot Conditions'!$V$9)^2))</f>
        <v>3.3668832417054348</v>
      </c>
      <c r="M13" s="53">
        <f t="shared" ca="1" si="0"/>
        <v>3.1</v>
      </c>
      <c r="N13" s="155">
        <f t="shared" ca="1" si="3"/>
        <v>283.43999999999988</v>
      </c>
      <c r="O13" s="40"/>
    </row>
    <row r="14" spans="2:23" ht="15.75" customHeight="1">
      <c r="B14" s="299"/>
      <c r="C14" s="163">
        <v>9</v>
      </c>
      <c r="D14" s="164">
        <v>173.6</v>
      </c>
      <c r="E14" s="165">
        <f t="shared" si="1"/>
        <v>17.799999999999983</v>
      </c>
      <c r="F14" s="166" t="s">
        <v>67</v>
      </c>
      <c r="G14" s="166" t="s">
        <v>68</v>
      </c>
      <c r="H14" s="166" t="s">
        <v>98</v>
      </c>
      <c r="I14" s="165">
        <f t="shared" ca="1" si="2"/>
        <v>25.531633029337534</v>
      </c>
      <c r="J14" s="165">
        <v>20</v>
      </c>
      <c r="K14" s="167">
        <f ca="1">(0.2083*(100/'Proposed Pivot Conditions'!$V$7)^1.852*N14^1.852/('Proposed Pivot Conditions'!$U$16)^4.8655)*0.43353*(E14/100)</f>
        <v>3.4947261599347669E-2</v>
      </c>
      <c r="L14" s="167">
        <f>((2*D14*'Proposed Pivot Conditions'!$V$8*E14)/(('Proposed Pivot Conditions'!$R$10+'Proposed Pivot Conditions'!$V$9)^2))</f>
        <v>3.7515464105267169</v>
      </c>
      <c r="M14" s="166">
        <f t="shared" ca="1" si="0"/>
        <v>4.05</v>
      </c>
      <c r="N14" s="168">
        <f t="shared" ca="1" si="3"/>
        <v>279.38999999999987</v>
      </c>
      <c r="O14" s="43"/>
      <c r="P14" s="284" t="s">
        <v>79</v>
      </c>
      <c r="Q14" s="285"/>
      <c r="R14" s="285"/>
      <c r="S14" s="285"/>
      <c r="T14" s="285"/>
      <c r="U14" s="285"/>
      <c r="V14" s="285"/>
      <c r="W14" s="286"/>
    </row>
    <row r="15" spans="2:23">
      <c r="B15" s="297" t="s">
        <v>169</v>
      </c>
      <c r="C15" s="140">
        <v>10</v>
      </c>
      <c r="D15" s="141">
        <v>193.5</v>
      </c>
      <c r="E15" s="162">
        <f t="shared" si="1"/>
        <v>19.900000000000006</v>
      </c>
      <c r="F15" s="142" t="s">
        <v>67</v>
      </c>
      <c r="G15" s="142" t="s">
        <v>68</v>
      </c>
      <c r="H15" s="142" t="s">
        <v>98</v>
      </c>
      <c r="I15" s="162">
        <f t="shared" ca="1" si="2"/>
        <v>25.49360518783099</v>
      </c>
      <c r="J15" s="162">
        <v>20</v>
      </c>
      <c r="K15" s="143">
        <f ca="1">(0.2083*(100/'Proposed Pivot Conditions'!$V$7)^1.852*N15^1.852/('Proposed Pivot Conditions'!$U$16)^4.8655)*0.43353*(E15/100)</f>
        <v>3.8027841506544063E-2</v>
      </c>
      <c r="L15" s="143">
        <f>((2*D15*'Proposed Pivot Conditions'!$V$8*E15)/(('Proposed Pivot Conditions'!$R$10+'Proposed Pivot Conditions'!$V$9)^2))</f>
        <v>4.6749249811314657</v>
      </c>
      <c r="M15" s="142">
        <f t="shared" ca="1" si="0"/>
        <v>4.05</v>
      </c>
      <c r="N15" s="144">
        <f t="shared" ca="1" si="3"/>
        <v>275.33999999999986</v>
      </c>
      <c r="O15" s="43"/>
      <c r="P15" s="225" t="s">
        <v>76</v>
      </c>
      <c r="Q15" s="288" t="s">
        <v>55</v>
      </c>
      <c r="R15" s="288"/>
      <c r="S15" s="288" t="s">
        <v>77</v>
      </c>
      <c r="T15" s="288"/>
      <c r="U15" s="288" t="s">
        <v>75</v>
      </c>
      <c r="V15" s="288"/>
      <c r="W15" s="225" t="s">
        <v>257</v>
      </c>
    </row>
    <row r="16" spans="2:23">
      <c r="B16" s="298"/>
      <c r="C16" s="145">
        <v>11</v>
      </c>
      <c r="D16" s="146">
        <v>211.3</v>
      </c>
      <c r="E16" s="147">
        <f t="shared" si="1"/>
        <v>17.800000000000011</v>
      </c>
      <c r="F16" s="148" t="s">
        <v>67</v>
      </c>
      <c r="G16" s="148" t="s">
        <v>68</v>
      </c>
      <c r="H16" s="148" t="s">
        <v>99</v>
      </c>
      <c r="I16" s="147">
        <f t="shared" ca="1" si="2"/>
        <v>25.460603698718302</v>
      </c>
      <c r="J16" s="147">
        <v>20</v>
      </c>
      <c r="K16" s="149">
        <f ca="1">(0.2083*(100/'Proposed Pivot Conditions'!$V$7)^1.852*N16^1.852/('Proposed Pivot Conditions'!$U$16)^4.8655)*0.43353*(E16/100)</f>
        <v>3.3001489112689249E-2</v>
      </c>
      <c r="L16" s="149">
        <f>((2*D16*'Proposed Pivot Conditions'!$V$8*E16)/(('Proposed Pivot Conditions'!$R$10+'Proposed Pivot Conditions'!$V$9)^2))</f>
        <v>4.5662543579740582</v>
      </c>
      <c r="M16" s="148">
        <f t="shared" ca="1" si="0"/>
        <v>4.46</v>
      </c>
      <c r="N16" s="150">
        <f t="shared" ca="1" si="3"/>
        <v>270.87999999999988</v>
      </c>
      <c r="O16" s="43"/>
      <c r="P16" s="226">
        <v>1</v>
      </c>
      <c r="Q16" s="295"/>
      <c r="R16" s="295"/>
      <c r="S16" s="189">
        <v>181.9</v>
      </c>
      <c r="T16" s="44" t="s">
        <v>37</v>
      </c>
      <c r="U16" s="190">
        <v>6.4</v>
      </c>
      <c r="V16" s="44" t="s">
        <v>35</v>
      </c>
      <c r="W16" s="227">
        <v>9</v>
      </c>
    </row>
    <row r="17" spans="2:24">
      <c r="B17" s="298"/>
      <c r="C17" s="151">
        <v>12</v>
      </c>
      <c r="D17" s="152">
        <v>229.1</v>
      </c>
      <c r="E17" s="153">
        <f t="shared" si="1"/>
        <v>17.799999999999983</v>
      </c>
      <c r="F17" s="53" t="s">
        <v>67</v>
      </c>
      <c r="G17" s="53" t="s">
        <v>68</v>
      </c>
      <c r="H17" s="53" t="s">
        <v>100</v>
      </c>
      <c r="I17" s="153">
        <f t="shared" ca="1" si="2"/>
        <v>25.428681497031789</v>
      </c>
      <c r="J17" s="153">
        <v>20</v>
      </c>
      <c r="K17" s="154">
        <f ca="1">(0.2083*(100/'Proposed Pivot Conditions'!$V$7)^1.852*N17^1.852/('Proposed Pivot Conditions'!$U$16)^4.8655)*0.43353*(E17/100)</f>
        <v>3.1922201686512858E-2</v>
      </c>
      <c r="L17" s="154">
        <f>((2*D17*'Proposed Pivot Conditions'!$V$8*E17)/(('Proposed Pivot Conditions'!$R$10+'Proposed Pivot Conditions'!$V$9)^2))</f>
        <v>4.9509175267953394</v>
      </c>
      <c r="M17" s="53">
        <f t="shared" ca="1" si="0"/>
        <v>4.82</v>
      </c>
      <c r="N17" s="155">
        <f t="shared" ca="1" si="3"/>
        <v>266.05999999999989</v>
      </c>
      <c r="O17" s="43"/>
      <c r="P17" s="226">
        <v>2</v>
      </c>
      <c r="Q17" s="295"/>
      <c r="R17" s="295"/>
      <c r="S17" s="189">
        <v>177.6</v>
      </c>
      <c r="T17" s="44" t="s">
        <v>37</v>
      </c>
      <c r="U17" s="190">
        <v>6.4</v>
      </c>
      <c r="V17" s="44" t="s">
        <v>35</v>
      </c>
      <c r="W17" s="227">
        <v>10</v>
      </c>
    </row>
    <row r="18" spans="2:24">
      <c r="B18" s="298"/>
      <c r="C18" s="145">
        <v>13</v>
      </c>
      <c r="D18" s="146">
        <v>246.3</v>
      </c>
      <c r="E18" s="147">
        <f t="shared" si="1"/>
        <v>17.200000000000017</v>
      </c>
      <c r="F18" s="148" t="s">
        <v>67</v>
      </c>
      <c r="G18" s="148" t="s">
        <v>68</v>
      </c>
      <c r="H18" s="148" t="s">
        <v>100</v>
      </c>
      <c r="I18" s="147">
        <f t="shared" ca="1" si="2"/>
        <v>25.398862257379157</v>
      </c>
      <c r="J18" s="147">
        <v>20</v>
      </c>
      <c r="K18" s="149">
        <f ca="1">(0.2083*(100/'Proposed Pivot Conditions'!$V$7)^1.852*N18^1.852/('Proposed Pivot Conditions'!$U$16)^4.8655)*0.43353*(E18/100)</f>
        <v>2.9819239652631325E-2</v>
      </c>
      <c r="L18" s="149">
        <f>((2*D18*'Proposed Pivot Conditions'!$V$8*E18)/(('Proposed Pivot Conditions'!$R$10+'Proposed Pivot Conditions'!$V$9)^2))</f>
        <v>5.1432005487556927</v>
      </c>
      <c r="M18" s="148">
        <f t="shared" ca="1" si="0"/>
        <v>4.82</v>
      </c>
      <c r="N18" s="150">
        <f t="shared" ca="1" si="3"/>
        <v>261.2399999999999</v>
      </c>
      <c r="O18" s="43"/>
      <c r="P18" s="226">
        <v>3</v>
      </c>
      <c r="Q18" s="295"/>
      <c r="R18" s="295"/>
      <c r="S18" s="189">
        <v>177.6</v>
      </c>
      <c r="T18" s="44" t="s">
        <v>37</v>
      </c>
      <c r="U18" s="190">
        <v>6.4</v>
      </c>
      <c r="V18" s="44" t="s">
        <v>35</v>
      </c>
      <c r="W18" s="227">
        <v>20</v>
      </c>
    </row>
    <row r="19" spans="2:24">
      <c r="B19" s="298"/>
      <c r="C19" s="151">
        <v>14</v>
      </c>
      <c r="D19" s="152">
        <v>263.5</v>
      </c>
      <c r="E19" s="153">
        <f t="shared" si="1"/>
        <v>17.199999999999989</v>
      </c>
      <c r="F19" s="53" t="s">
        <v>67</v>
      </c>
      <c r="G19" s="53" t="s">
        <v>68</v>
      </c>
      <c r="H19" s="53" t="s">
        <v>102</v>
      </c>
      <c r="I19" s="153">
        <f t="shared" ca="1" si="2"/>
        <v>25.370218091649761</v>
      </c>
      <c r="J19" s="153">
        <v>20</v>
      </c>
      <c r="K19" s="154">
        <f ca="1">(0.2083*(100/'Proposed Pivot Conditions'!$V$7)^1.852*N19^1.852/('Proposed Pivot Conditions'!$U$16)^4.8655)*0.43353*(E19/100)</f>
        <v>2.8644165729395463E-2</v>
      </c>
      <c r="L19" s="154">
        <f>((2*D19*'Proposed Pivot Conditions'!$V$8*E19)/(('Proposed Pivot Conditions'!$R$10+'Proposed Pivot Conditions'!$V$9)^2))</f>
        <v>5.5023684311698053</v>
      </c>
      <c r="M19" s="53">
        <f t="shared" ca="1" si="0"/>
        <v>5.61</v>
      </c>
      <c r="N19" s="155">
        <f t="shared" ca="1" si="3"/>
        <v>255.62999999999988</v>
      </c>
      <c r="O19" s="43"/>
      <c r="P19" s="222">
        <v>4</v>
      </c>
      <c r="Q19" s="300"/>
      <c r="R19" s="300"/>
      <c r="S19" s="191">
        <v>70</v>
      </c>
      <c r="T19" s="52" t="s">
        <v>37</v>
      </c>
      <c r="U19" s="192">
        <v>6.4</v>
      </c>
      <c r="V19" s="52" t="s">
        <v>35</v>
      </c>
      <c r="W19" s="223">
        <v>7</v>
      </c>
    </row>
    <row r="20" spans="2:24">
      <c r="B20" s="298"/>
      <c r="C20" s="145">
        <v>15</v>
      </c>
      <c r="D20" s="146">
        <v>280.89999999999998</v>
      </c>
      <c r="E20" s="147">
        <f t="shared" si="1"/>
        <v>17.399999999999977</v>
      </c>
      <c r="F20" s="148" t="s">
        <v>67</v>
      </c>
      <c r="G20" s="148" t="s">
        <v>68</v>
      </c>
      <c r="H20" s="148" t="s">
        <v>102</v>
      </c>
      <c r="I20" s="147">
        <f t="shared" ca="1" si="2"/>
        <v>25.342407570517238</v>
      </c>
      <c r="J20" s="147">
        <v>20</v>
      </c>
      <c r="K20" s="149">
        <f ca="1">(0.2083*(100/'Proposed Pivot Conditions'!$V$7)^1.852*N20^1.852/('Proposed Pivot Conditions'!$U$16)^4.8655)*0.43353*(E20/100)</f>
        <v>2.7810521132524007E-2</v>
      </c>
      <c r="L20" s="149">
        <f>((2*D20*'Proposed Pivot Conditions'!$V$8*E20)/(('Proposed Pivot Conditions'!$R$10+'Proposed Pivot Conditions'!$V$9)^2))</f>
        <v>5.9339186457551287</v>
      </c>
      <c r="M20" s="148">
        <f t="shared" ca="1" si="0"/>
        <v>5.61</v>
      </c>
      <c r="N20" s="150">
        <f t="shared" ca="1" si="3"/>
        <v>250.01999999999987</v>
      </c>
      <c r="O20" s="43"/>
      <c r="P20" s="221"/>
      <c r="Q20" s="295"/>
      <c r="R20" s="295"/>
      <c r="S20" s="189"/>
      <c r="T20" s="44"/>
      <c r="U20" s="190"/>
      <c r="V20" s="44"/>
      <c r="W20" s="221"/>
      <c r="X20" s="40"/>
    </row>
    <row r="21" spans="2:24">
      <c r="B21" s="298"/>
      <c r="C21" s="151">
        <v>16</v>
      </c>
      <c r="D21" s="152">
        <v>298.10000000000002</v>
      </c>
      <c r="E21" s="153">
        <f t="shared" si="1"/>
        <v>17.200000000000045</v>
      </c>
      <c r="F21" s="53" t="s">
        <v>67</v>
      </c>
      <c r="G21" s="53" t="s">
        <v>68</v>
      </c>
      <c r="H21" s="53" t="s">
        <v>103</v>
      </c>
      <c r="I21" s="153">
        <f t="shared" ca="1" si="2"/>
        <v>25.316147957735232</v>
      </c>
      <c r="J21" s="153">
        <v>20</v>
      </c>
      <c r="K21" s="154">
        <f ca="1">(0.2083*(100/'Proposed Pivot Conditions'!$V$7)^1.852*N21^1.852/('Proposed Pivot Conditions'!$U$16)^4.8655)*0.43353*(E21/100)</f>
        <v>2.6259612782007405E-2</v>
      </c>
      <c r="L21" s="154">
        <f>((2*D21*'Proposed Pivot Conditions'!$V$8*E21)/(('Proposed Pivot Conditions'!$R$10+'Proposed Pivot Conditions'!$V$9)^2))</f>
        <v>6.2248805667238107</v>
      </c>
      <c r="M21" s="53">
        <f t="shared" ca="1" si="0"/>
        <v>6.11</v>
      </c>
      <c r="N21" s="155">
        <f t="shared" ca="1" si="3"/>
        <v>243.90999999999985</v>
      </c>
      <c r="O21" s="43"/>
      <c r="P21" s="221"/>
      <c r="Q21" s="295"/>
      <c r="R21" s="295"/>
      <c r="S21" s="189"/>
      <c r="T21" s="44"/>
      <c r="U21" s="190"/>
      <c r="V21" s="44"/>
      <c r="W21" s="221"/>
      <c r="X21" s="40"/>
    </row>
    <row r="22" spans="2:24">
      <c r="B22" s="298"/>
      <c r="C22" s="145">
        <v>17</v>
      </c>
      <c r="D22" s="146">
        <v>315.60000000000002</v>
      </c>
      <c r="E22" s="147">
        <f t="shared" si="1"/>
        <v>17.5</v>
      </c>
      <c r="F22" s="148" t="s">
        <v>67</v>
      </c>
      <c r="G22" s="148" t="s">
        <v>68</v>
      </c>
      <c r="H22" s="148" t="s">
        <v>104</v>
      </c>
      <c r="I22" s="147">
        <f t="shared" ca="1" si="2"/>
        <v>25.290739915110201</v>
      </c>
      <c r="J22" s="147">
        <v>20</v>
      </c>
      <c r="K22" s="149">
        <f ca="1">(0.2083*(100/'Proposed Pivot Conditions'!$V$7)^1.852*N22^1.852/('Proposed Pivot Conditions'!$U$16)^4.8655)*0.43353*(E22/100)</f>
        <v>2.5408042625031945E-2</v>
      </c>
      <c r="L22" s="149">
        <f>((2*D22*'Proposed Pivot Conditions'!$V$8*E22)/(('Proposed Pivot Conditions'!$R$10+'Proposed Pivot Conditions'!$V$9)^2))</f>
        <v>6.7052603250851357</v>
      </c>
      <c r="M22" s="148">
        <f t="shared" ca="1" si="0"/>
        <v>6.53</v>
      </c>
      <c r="N22" s="150">
        <f t="shared" ca="1" si="3"/>
        <v>237.37999999999985</v>
      </c>
      <c r="O22" s="43"/>
      <c r="P22" s="224"/>
      <c r="Q22" s="296"/>
      <c r="R22" s="296"/>
      <c r="S22" s="40"/>
      <c r="T22" s="44"/>
      <c r="U22" s="40"/>
      <c r="V22" s="44"/>
      <c r="W22" s="40"/>
      <c r="X22" s="40"/>
    </row>
    <row r="23" spans="2:24" ht="15.75" customHeight="1">
      <c r="B23" s="298"/>
      <c r="C23" s="151">
        <v>18</v>
      </c>
      <c r="D23" s="152">
        <v>333.4</v>
      </c>
      <c r="E23" s="153">
        <f t="shared" si="1"/>
        <v>17.799999999999955</v>
      </c>
      <c r="F23" s="53" t="s">
        <v>67</v>
      </c>
      <c r="G23" s="53" t="s">
        <v>68</v>
      </c>
      <c r="H23" s="53" t="s">
        <v>105</v>
      </c>
      <c r="I23" s="153">
        <f t="shared" ca="1" si="2"/>
        <v>25.266287977693814</v>
      </c>
      <c r="J23" s="153">
        <v>20</v>
      </c>
      <c r="K23" s="154">
        <f ca="1">(0.2083*(100/'Proposed Pivot Conditions'!$V$7)^1.852*N23^1.852/('Proposed Pivot Conditions'!$U$16)^4.8655)*0.43353*(E23/100)</f>
        <v>2.4451937416387313E-2</v>
      </c>
      <c r="L23" s="154">
        <f>((2*D23*'Proposed Pivot Conditions'!$V$8*E23)/(('Proposed Pivot Conditions'!$R$10+'Proposed Pivot Conditions'!$V$9)^2))</f>
        <v>7.2048708137650079</v>
      </c>
      <c r="M23" s="53">
        <f t="shared" ca="1" si="0"/>
        <v>6.99</v>
      </c>
      <c r="N23" s="155">
        <f ca="1">N22-M23</f>
        <v>230.38999999999984</v>
      </c>
      <c r="O23" s="43"/>
      <c r="P23" s="224"/>
      <c r="Q23" s="296"/>
      <c r="R23" s="296"/>
      <c r="S23" s="40"/>
      <c r="T23" s="44"/>
      <c r="U23" s="40"/>
      <c r="V23" s="44"/>
      <c r="W23" s="40"/>
    </row>
    <row r="24" spans="2:24">
      <c r="B24" s="299"/>
      <c r="C24" s="163">
        <v>19</v>
      </c>
      <c r="D24" s="164">
        <v>351.2</v>
      </c>
      <c r="E24" s="165">
        <f t="shared" si="1"/>
        <v>17.800000000000011</v>
      </c>
      <c r="F24" s="166" t="s">
        <v>67</v>
      </c>
      <c r="G24" s="166" t="s">
        <v>68</v>
      </c>
      <c r="H24" s="166" t="s">
        <v>103</v>
      </c>
      <c r="I24" s="165">
        <f t="shared" ca="1" si="2"/>
        <v>25.243023423416812</v>
      </c>
      <c r="J24" s="165">
        <v>20</v>
      </c>
      <c r="K24" s="167">
        <f ca="1">(0.2083*(100/'Proposed Pivot Conditions'!$V$7)^1.852*N24^1.852/('Proposed Pivot Conditions'!$U$16)^4.8655)*0.43353*(E24/100)</f>
        <v>2.3264554277001862E-2</v>
      </c>
      <c r="L24" s="167">
        <f>((2*D24*'Proposed Pivot Conditions'!$V$8*E24)/(('Proposed Pivot Conditions'!$R$10+'Proposed Pivot Conditions'!$V$9)^2))</f>
        <v>7.5895339825863193</v>
      </c>
      <c r="M24" s="166">
        <f t="shared" ca="1" si="0"/>
        <v>6.11</v>
      </c>
      <c r="N24" s="168">
        <f t="shared" ref="N24:N50" ca="1" si="4">N23-M24</f>
        <v>224.27999999999983</v>
      </c>
      <c r="O24" s="43"/>
      <c r="P24" s="224"/>
      <c r="Q24" s="296"/>
      <c r="R24" s="296"/>
      <c r="S24" s="40"/>
      <c r="T24" s="44"/>
      <c r="U24" s="40"/>
      <c r="V24" s="44"/>
      <c r="W24" s="40"/>
    </row>
    <row r="25" spans="2:24">
      <c r="B25" s="297" t="s">
        <v>170</v>
      </c>
      <c r="C25" s="140">
        <v>20</v>
      </c>
      <c r="D25" s="141">
        <v>362.2</v>
      </c>
      <c r="E25" s="162">
        <f t="shared" si="1"/>
        <v>11</v>
      </c>
      <c r="F25" s="142" t="s">
        <v>67</v>
      </c>
      <c r="G25" s="142" t="s">
        <v>68</v>
      </c>
      <c r="H25" s="142" t="s">
        <v>98</v>
      </c>
      <c r="I25" s="162">
        <f t="shared" ca="1" si="2"/>
        <v>25.229123558998655</v>
      </c>
      <c r="J25" s="162">
        <v>20</v>
      </c>
      <c r="K25" s="143">
        <f ca="1">(0.2083*(100/'Proposed Pivot Conditions'!$V$7)^1.852*N25^1.852/('Proposed Pivot Conditions'!$U$16)^4.8655)*0.43353*(E25/100)</f>
        <v>1.3899864418155418E-2</v>
      </c>
      <c r="L25" s="143">
        <f>((2*D25*'Proposed Pivot Conditions'!$V$8*E25)/(('Proposed Pivot Conditions'!$R$10+'Proposed Pivot Conditions'!$V$9)^2))</f>
        <v>4.8370628620684775</v>
      </c>
      <c r="M25" s="142">
        <f t="shared" ca="1" si="0"/>
        <v>4.05</v>
      </c>
      <c r="N25" s="144">
        <f t="shared" ca="1" si="4"/>
        <v>220.22999999999982</v>
      </c>
      <c r="O25" s="43"/>
      <c r="P25" s="224"/>
      <c r="Q25" s="296"/>
      <c r="R25" s="296"/>
      <c r="S25" s="40"/>
      <c r="T25" s="44"/>
      <c r="U25" s="40"/>
      <c r="V25" s="44"/>
      <c r="W25" s="40"/>
    </row>
    <row r="26" spans="2:24">
      <c r="B26" s="298"/>
      <c r="C26" s="145">
        <v>21</v>
      </c>
      <c r="D26" s="146">
        <v>371.1</v>
      </c>
      <c r="E26" s="147">
        <f t="shared" si="1"/>
        <v>8.9000000000000341</v>
      </c>
      <c r="F26" s="148" t="s">
        <v>67</v>
      </c>
      <c r="G26" s="148" t="s">
        <v>68</v>
      </c>
      <c r="H26" s="148" t="s">
        <v>98</v>
      </c>
      <c r="I26" s="147">
        <f t="shared" ca="1" si="2"/>
        <v>25.218257326928807</v>
      </c>
      <c r="J26" s="147">
        <v>20</v>
      </c>
      <c r="K26" s="149">
        <f ca="1">(0.2083*(100/'Proposed Pivot Conditions'!$V$7)^1.852*N26^1.852/('Proposed Pivot Conditions'!$U$16)^4.8655)*0.43353*(E26/100)</f>
        <v>1.0866232069848734E-2</v>
      </c>
      <c r="L26" s="149">
        <f>((2*D26*'Proposed Pivot Conditions'!$V$8*E26)/(('Proposed Pivot Conditions'!$R$10+'Proposed Pivot Conditions'!$V$9)^2))</f>
        <v>4.0097893806061959</v>
      </c>
      <c r="M26" s="148">
        <f t="shared" ca="1" si="0"/>
        <v>4.05</v>
      </c>
      <c r="N26" s="150">
        <f t="shared" ca="1" si="4"/>
        <v>216.17999999999981</v>
      </c>
      <c r="O26" s="43"/>
    </row>
    <row r="27" spans="2:24">
      <c r="B27" s="298"/>
      <c r="C27" s="151">
        <v>22</v>
      </c>
      <c r="D27" s="152">
        <v>380</v>
      </c>
      <c r="E27" s="153">
        <f t="shared" si="1"/>
        <v>8.8999999999999773</v>
      </c>
      <c r="F27" s="53" t="s">
        <v>67</v>
      </c>
      <c r="G27" s="53" t="s">
        <v>68</v>
      </c>
      <c r="H27" s="53" t="s">
        <v>98</v>
      </c>
      <c r="I27" s="153">
        <f t="shared" ca="1" si="2"/>
        <v>25.207765098886103</v>
      </c>
      <c r="J27" s="153">
        <v>20</v>
      </c>
      <c r="K27" s="154">
        <f ca="1">(0.2083*(100/'Proposed Pivot Conditions'!$V$7)^1.852*N27^1.852/('Proposed Pivot Conditions'!$U$16)^4.8655)*0.43353*(E27/100)</f>
        <v>1.0492228042704225E-2</v>
      </c>
      <c r="L27" s="154">
        <f>((2*D27*'Proposed Pivot Conditions'!$V$8*E27)/(('Proposed Pivot Conditions'!$R$10+'Proposed Pivot Conditions'!$V$9)^2))</f>
        <v>4.105955172811492</v>
      </c>
      <c r="M27" s="53">
        <f t="shared" ca="1" si="0"/>
        <v>4.05</v>
      </c>
      <c r="N27" s="155">
        <f t="shared" ca="1" si="4"/>
        <v>212.1299999999998</v>
      </c>
      <c r="O27" s="43"/>
    </row>
    <row r="28" spans="2:24">
      <c r="B28" s="298"/>
      <c r="C28" s="145">
        <v>23</v>
      </c>
      <c r="D28" s="146">
        <v>388.9</v>
      </c>
      <c r="E28" s="147">
        <f t="shared" si="1"/>
        <v>8.8999999999999773</v>
      </c>
      <c r="F28" s="148" t="s">
        <v>67</v>
      </c>
      <c r="G28" s="148" t="s">
        <v>68</v>
      </c>
      <c r="H28" s="148" t="s">
        <v>98</v>
      </c>
      <c r="I28" s="147">
        <f t="shared" ca="1" si="2"/>
        <v>25.197640840160577</v>
      </c>
      <c r="J28" s="147">
        <v>20</v>
      </c>
      <c r="K28" s="149">
        <f ca="1">(0.2083*(100/'Proposed Pivot Conditions'!$V$7)^1.852*N28^1.852/('Proposed Pivot Conditions'!$U$16)^4.8655)*0.43353*(E28/100)</f>
        <v>1.0124258725525859E-2</v>
      </c>
      <c r="L28" s="149">
        <f>((2*D28*'Proposed Pivot Conditions'!$V$8*E28)/(('Proposed Pivot Conditions'!$R$10+'Proposed Pivot Conditions'!$V$9)^2))</f>
        <v>4.2021209650168139</v>
      </c>
      <c r="M28" s="148">
        <f t="shared" ca="1" si="0"/>
        <v>4.05</v>
      </c>
      <c r="N28" s="150">
        <f t="shared" ca="1" si="4"/>
        <v>208.07999999999979</v>
      </c>
      <c r="O28" s="43"/>
    </row>
    <row r="29" spans="2:24">
      <c r="B29" s="298"/>
      <c r="C29" s="151">
        <v>24</v>
      </c>
      <c r="D29" s="152">
        <v>397.8</v>
      </c>
      <c r="E29" s="153">
        <f t="shared" si="1"/>
        <v>8.9000000000000341</v>
      </c>
      <c r="F29" s="53" t="s">
        <v>67</v>
      </c>
      <c r="G29" s="53" t="s">
        <v>68</v>
      </c>
      <c r="H29" s="53" t="s">
        <v>98</v>
      </c>
      <c r="I29" s="153">
        <f t="shared" ca="1" si="2"/>
        <v>25.187878498799741</v>
      </c>
      <c r="J29" s="153">
        <v>20</v>
      </c>
      <c r="K29" s="154">
        <f ca="1">(0.2083*(100/'Proposed Pivot Conditions'!$V$7)^1.852*N29^1.852/('Proposed Pivot Conditions'!$U$16)^4.8655)*0.43353*(E29/100)</f>
        <v>9.7623413608355237E-3</v>
      </c>
      <c r="L29" s="154">
        <f>((2*D29*'Proposed Pivot Conditions'!$V$8*E29)/(('Proposed Pivot Conditions'!$R$10+'Proposed Pivot Conditions'!$V$9)^2))</f>
        <v>4.2982867572221632</v>
      </c>
      <c r="M29" s="53">
        <f t="shared" ca="1" si="0"/>
        <v>4.05</v>
      </c>
      <c r="N29" s="155">
        <f t="shared" ca="1" si="4"/>
        <v>204.02999999999977</v>
      </c>
      <c r="O29" s="43"/>
    </row>
    <row r="30" spans="2:24">
      <c r="B30" s="298"/>
      <c r="C30" s="145">
        <v>25</v>
      </c>
      <c r="D30" s="146">
        <v>406.7</v>
      </c>
      <c r="E30" s="147">
        <f t="shared" si="1"/>
        <v>8.8999999999999773</v>
      </c>
      <c r="F30" s="148" t="s">
        <v>67</v>
      </c>
      <c r="G30" s="148" t="s">
        <v>68</v>
      </c>
      <c r="H30" s="148" t="s">
        <v>98</v>
      </c>
      <c r="I30" s="147">
        <f t="shared" ca="1" si="2"/>
        <v>25.178472005218886</v>
      </c>
      <c r="J30" s="147">
        <v>20</v>
      </c>
      <c r="K30" s="149">
        <f ca="1">(0.2083*(100/'Proposed Pivot Conditions'!$V$7)^1.852*N30^1.852/('Proposed Pivot Conditions'!$U$16)^4.8655)*0.43353*(E30/100)</f>
        <v>9.4064935808560405E-3</v>
      </c>
      <c r="L30" s="149">
        <f>((2*D30*'Proposed Pivot Conditions'!$V$8*E30)/(('Proposed Pivot Conditions'!$R$10+'Proposed Pivot Conditions'!$V$9)^2))</f>
        <v>4.3944525494274576</v>
      </c>
      <c r="M30" s="148">
        <f t="shared" ca="1" si="0"/>
        <v>4.05</v>
      </c>
      <c r="N30" s="150">
        <f t="shared" ca="1" si="4"/>
        <v>199.97999999999976</v>
      </c>
      <c r="O30" s="43"/>
    </row>
    <row r="31" spans="2:24">
      <c r="B31" s="298"/>
      <c r="C31" s="151">
        <v>26</v>
      </c>
      <c r="D31" s="152">
        <v>415.3</v>
      </c>
      <c r="E31" s="153">
        <f t="shared" si="1"/>
        <v>8.6000000000000227</v>
      </c>
      <c r="F31" s="53" t="s">
        <v>67</v>
      </c>
      <c r="G31" s="53" t="s">
        <v>68</v>
      </c>
      <c r="H31" s="53" t="s">
        <v>99</v>
      </c>
      <c r="I31" s="153">
        <f t="shared" ca="1" si="2"/>
        <v>25.169754440652124</v>
      </c>
      <c r="J31" s="153">
        <v>20</v>
      </c>
      <c r="K31" s="154">
        <f ca="1">(0.2083*(100/'Proposed Pivot Conditions'!$V$7)^1.852*N31^1.852/('Proposed Pivot Conditions'!$U$16)^4.8655)*0.43353*(E31/100)</f>
        <v>8.7175645667632671E-3</v>
      </c>
      <c r="L31" s="154">
        <f>((2*D31*'Proposed Pivot Conditions'!$V$8*E31)/(('Proposed Pivot Conditions'!$R$10+'Proposed Pivot Conditions'!$V$9)^2))</f>
        <v>4.3361169060053655</v>
      </c>
      <c r="M31" s="53">
        <f t="shared" ca="1" si="0"/>
        <v>4.46</v>
      </c>
      <c r="N31" s="155">
        <f t="shared" ca="1" si="4"/>
        <v>195.51999999999975</v>
      </c>
      <c r="O31" s="43"/>
    </row>
    <row r="32" spans="2:24">
      <c r="B32" s="298"/>
      <c r="C32" s="145">
        <v>27</v>
      </c>
      <c r="D32" s="146">
        <v>423.9</v>
      </c>
      <c r="E32" s="147">
        <f t="shared" si="1"/>
        <v>8.5999999999999659</v>
      </c>
      <c r="F32" s="148" t="s">
        <v>67</v>
      </c>
      <c r="G32" s="148" t="s">
        <v>68</v>
      </c>
      <c r="H32" s="148" t="s">
        <v>98</v>
      </c>
      <c r="I32" s="147">
        <f t="shared" ca="1" si="2"/>
        <v>25.161368347988589</v>
      </c>
      <c r="J32" s="147">
        <v>20</v>
      </c>
      <c r="K32" s="149">
        <f ca="1">(0.2083*(100/'Proposed Pivot Conditions'!$V$7)^1.852*N32^1.852/('Proposed Pivot Conditions'!$U$16)^4.8655)*0.43353*(E32/100)</f>
        <v>8.3860926635370321E-3</v>
      </c>
      <c r="L32" s="149">
        <f>((2*D32*'Proposed Pivot Conditions'!$V$8*E32)/(('Proposed Pivot Conditions'!$R$10+'Proposed Pivot Conditions'!$V$9)^2))</f>
        <v>4.4259088766088661</v>
      </c>
      <c r="M32" s="148">
        <f t="shared" ca="1" si="0"/>
        <v>4.05</v>
      </c>
      <c r="N32" s="150">
        <f t="shared" ca="1" si="4"/>
        <v>191.46999999999974</v>
      </c>
      <c r="O32" s="43"/>
    </row>
    <row r="33" spans="2:16">
      <c r="B33" s="298"/>
      <c r="C33" s="151">
        <v>28</v>
      </c>
      <c r="D33" s="152">
        <v>432.5</v>
      </c>
      <c r="E33" s="153">
        <f t="shared" si="1"/>
        <v>8.6000000000000227</v>
      </c>
      <c r="F33" s="53" t="s">
        <v>67</v>
      </c>
      <c r="G33" s="53" t="s">
        <v>68</v>
      </c>
      <c r="H33" s="53" t="s">
        <v>99</v>
      </c>
      <c r="I33" s="153">
        <f t="shared" ca="1" si="2"/>
        <v>25.153340433145516</v>
      </c>
      <c r="J33" s="153">
        <v>20</v>
      </c>
      <c r="K33" s="154">
        <f ca="1">(0.2083*(100/'Proposed Pivot Conditions'!$V$7)^1.852*N33^1.852/('Proposed Pivot Conditions'!$U$16)^4.8655)*0.43353*(E33/100)</f>
        <v>8.0279148430712505E-3</v>
      </c>
      <c r="L33" s="154">
        <f>((2*D33*'Proposed Pivot Conditions'!$V$8*E33)/(('Proposed Pivot Conditions'!$R$10+'Proposed Pivot Conditions'!$V$9)^2))</f>
        <v>4.5157008472124263</v>
      </c>
      <c r="M33" s="53">
        <f t="shared" ca="1" si="0"/>
        <v>4.46</v>
      </c>
      <c r="N33" s="155">
        <f t="shared" ca="1" si="4"/>
        <v>187.00999999999974</v>
      </c>
      <c r="O33" s="43"/>
    </row>
    <row r="34" spans="2:16">
      <c r="B34" s="298"/>
      <c r="C34" s="145">
        <v>29</v>
      </c>
      <c r="D34" s="146">
        <v>441.1</v>
      </c>
      <c r="E34" s="147">
        <f t="shared" si="1"/>
        <v>8.6000000000000227</v>
      </c>
      <c r="F34" s="148" t="s">
        <v>67</v>
      </c>
      <c r="G34" s="148" t="s">
        <v>68</v>
      </c>
      <c r="H34" s="148" t="s">
        <v>99</v>
      </c>
      <c r="I34" s="147">
        <f t="shared" ca="1" si="2"/>
        <v>25.145663491240636</v>
      </c>
      <c r="J34" s="147">
        <v>20</v>
      </c>
      <c r="K34" s="149">
        <f ca="1">(0.2083*(100/'Proposed Pivot Conditions'!$V$7)^1.852*N34^1.852/('Proposed Pivot Conditions'!$U$16)^4.8655)*0.43353*(E34/100)</f>
        <v>7.6769419048797333E-3</v>
      </c>
      <c r="L34" s="149">
        <f>((2*D34*'Proposed Pivot Conditions'!$V$8*E34)/(('Proposed Pivot Conditions'!$R$10+'Proposed Pivot Conditions'!$V$9)^2))</f>
        <v>4.6054928178159562</v>
      </c>
      <c r="M34" s="148">
        <f t="shared" ca="1" si="0"/>
        <v>4.46</v>
      </c>
      <c r="N34" s="150">
        <f t="shared" ca="1" si="4"/>
        <v>182.54999999999973</v>
      </c>
      <c r="O34" s="43"/>
    </row>
    <row r="35" spans="2:16" ht="15.75" customHeight="1">
      <c r="B35" s="298"/>
      <c r="C35" s="151">
        <v>30</v>
      </c>
      <c r="D35" s="152">
        <v>449.9</v>
      </c>
      <c r="E35" s="153">
        <f t="shared" si="1"/>
        <v>8.7999999999999545</v>
      </c>
      <c r="F35" s="53" t="s">
        <v>67</v>
      </c>
      <c r="G35" s="53" t="s">
        <v>68</v>
      </c>
      <c r="H35" s="53" t="s">
        <v>99</v>
      </c>
      <c r="I35" s="153">
        <f t="shared" ca="1" si="2"/>
        <v>25.138159752077453</v>
      </c>
      <c r="J35" s="153">
        <v>20</v>
      </c>
      <c r="K35" s="154">
        <f ca="1">(0.2083*(100/'Proposed Pivot Conditions'!$V$7)^1.852*N35^1.852/('Proposed Pivot Conditions'!$U$16)^4.8655)*0.43353*(E35/100)</f>
        <v>7.5037391631855768E-3</v>
      </c>
      <c r="L35" s="154">
        <f>((2*D35*'Proposed Pivot Conditions'!$V$8*E35)/(('Proposed Pivot Conditions'!$R$10+'Proposed Pivot Conditions'!$V$9)^2))</f>
        <v>4.8066142057307495</v>
      </c>
      <c r="M35" s="53">
        <f t="shared" ca="1" si="0"/>
        <v>4.46</v>
      </c>
      <c r="N35" s="155">
        <f t="shared" ca="1" si="4"/>
        <v>178.08999999999972</v>
      </c>
      <c r="O35" s="43"/>
    </row>
    <row r="36" spans="2:16">
      <c r="B36" s="298"/>
      <c r="C36" s="145">
        <v>31</v>
      </c>
      <c r="D36" s="146">
        <v>458.5</v>
      </c>
      <c r="E36" s="147">
        <f t="shared" si="1"/>
        <v>8.6000000000000227</v>
      </c>
      <c r="F36" s="148" t="s">
        <v>67</v>
      </c>
      <c r="G36" s="148" t="s">
        <v>68</v>
      </c>
      <c r="H36" s="148" t="s">
        <v>100</v>
      </c>
      <c r="I36" s="147">
        <f t="shared" ca="1" si="2"/>
        <v>25.131189880394839</v>
      </c>
      <c r="J36" s="147">
        <v>20</v>
      </c>
      <c r="K36" s="149">
        <f ca="1">(0.2083*(100/'Proposed Pivot Conditions'!$V$7)^1.852*N36^1.852/('Proposed Pivot Conditions'!$U$16)^4.8655)*0.43353*(E36/100)</f>
        <v>6.9698716826153539E-3</v>
      </c>
      <c r="L36" s="149">
        <f>((2*D36*'Proposed Pivot Conditions'!$V$8*E36)/(('Proposed Pivot Conditions'!$R$10+'Proposed Pivot Conditions'!$V$9)^2))</f>
        <v>4.7871649443858892</v>
      </c>
      <c r="M36" s="148">
        <f t="shared" ca="1" si="0"/>
        <v>4.82</v>
      </c>
      <c r="N36" s="150">
        <f t="shared" ca="1" si="4"/>
        <v>173.26999999999973</v>
      </c>
      <c r="O36" s="43"/>
    </row>
    <row r="37" spans="2:16">
      <c r="B37" s="298"/>
      <c r="C37" s="151">
        <v>32</v>
      </c>
      <c r="D37" s="152">
        <v>467.1</v>
      </c>
      <c r="E37" s="153">
        <f t="shared" si="1"/>
        <v>8.6000000000000227</v>
      </c>
      <c r="F37" s="53" t="s">
        <v>67</v>
      </c>
      <c r="G37" s="53" t="s">
        <v>68</v>
      </c>
      <c r="H37" s="53" t="s">
        <v>100</v>
      </c>
      <c r="I37" s="153">
        <f t="shared" ca="1" si="2"/>
        <v>25.124574826119943</v>
      </c>
      <c r="J37" s="153">
        <v>20</v>
      </c>
      <c r="K37" s="154">
        <f ca="1">(0.2083*(100/'Proposed Pivot Conditions'!$V$7)^1.852*N37^1.852/('Proposed Pivot Conditions'!$U$16)^4.8655)*0.43353*(E37/100)</f>
        <v>6.615054274895912E-3</v>
      </c>
      <c r="L37" s="154">
        <f>((2*D37*'Proposed Pivot Conditions'!$V$8*E37)/(('Proposed Pivot Conditions'!$R$10+'Proposed Pivot Conditions'!$V$9)^2))</f>
        <v>4.8769569149894201</v>
      </c>
      <c r="M37" s="53">
        <f t="shared" ca="1" si="0"/>
        <v>4.82</v>
      </c>
      <c r="N37" s="155">
        <f t="shared" ca="1" si="4"/>
        <v>168.44999999999973</v>
      </c>
      <c r="O37" s="43"/>
    </row>
    <row r="38" spans="2:16">
      <c r="B38" s="298"/>
      <c r="C38" s="145">
        <v>33</v>
      </c>
      <c r="D38" s="146">
        <v>475.7</v>
      </c>
      <c r="E38" s="147">
        <f t="shared" si="1"/>
        <v>8.5999999999999659</v>
      </c>
      <c r="F38" s="148" t="s">
        <v>67</v>
      </c>
      <c r="G38" s="148" t="s">
        <v>68</v>
      </c>
      <c r="H38" s="148" t="s">
        <v>100</v>
      </c>
      <c r="I38" s="147">
        <f t="shared" ca="1" si="2"/>
        <v>25.118306043091767</v>
      </c>
      <c r="J38" s="147">
        <v>20</v>
      </c>
      <c r="K38" s="149">
        <f ca="1">(0.2083*(100/'Proposed Pivot Conditions'!$V$7)^1.852*N38^1.852/('Proposed Pivot Conditions'!$U$16)^4.8655)*0.43353*(E38/100)</f>
        <v>6.2687830281769347E-3</v>
      </c>
      <c r="L38" s="149">
        <f>((2*D38*'Proposed Pivot Conditions'!$V$8*E38)/(('Proposed Pivot Conditions'!$R$10+'Proposed Pivot Conditions'!$V$9)^2))</f>
        <v>4.9667488855929181</v>
      </c>
      <c r="M38" s="148">
        <f t="shared" ca="1" si="0"/>
        <v>4.82</v>
      </c>
      <c r="N38" s="150">
        <f t="shared" ca="1" si="4"/>
        <v>163.62999999999974</v>
      </c>
      <c r="O38" s="43"/>
    </row>
    <row r="39" spans="2:16">
      <c r="B39" s="298"/>
      <c r="C39" s="151">
        <v>34</v>
      </c>
      <c r="D39" s="152">
        <v>484.3</v>
      </c>
      <c r="E39" s="153">
        <f t="shared" si="1"/>
        <v>8.6000000000000227</v>
      </c>
      <c r="F39" s="53" t="s">
        <v>67</v>
      </c>
      <c r="G39" s="53" t="s">
        <v>68</v>
      </c>
      <c r="H39" s="53" t="s">
        <v>100</v>
      </c>
      <c r="I39" s="153">
        <f t="shared" ca="1" si="2"/>
        <v>25.11237494834479</v>
      </c>
      <c r="J39" s="153">
        <v>20</v>
      </c>
      <c r="K39" s="154">
        <f ca="1">(0.2083*(100/'Proposed Pivot Conditions'!$V$7)^1.852*N39^1.852/('Proposed Pivot Conditions'!$U$16)^4.8655)*0.43353*(E39/100)</f>
        <v>5.9310947469779834E-3</v>
      </c>
      <c r="L39" s="154">
        <f>((2*D39*'Proposed Pivot Conditions'!$V$8*E39)/(('Proposed Pivot Conditions'!$R$10+'Proposed Pivot Conditions'!$V$9)^2))</f>
        <v>5.0565408561964809</v>
      </c>
      <c r="M39" s="53">
        <f t="shared" ca="1" si="0"/>
        <v>4.82</v>
      </c>
      <c r="N39" s="155">
        <f t="shared" ca="1" si="4"/>
        <v>158.80999999999975</v>
      </c>
      <c r="O39" s="43"/>
    </row>
    <row r="40" spans="2:16">
      <c r="B40" s="298"/>
      <c r="C40" s="145">
        <v>35</v>
      </c>
      <c r="D40" s="146">
        <v>493.2</v>
      </c>
      <c r="E40" s="147">
        <f t="shared" si="1"/>
        <v>8.8999999999999773</v>
      </c>
      <c r="F40" s="148" t="s">
        <v>67</v>
      </c>
      <c r="G40" s="148" t="s">
        <v>68</v>
      </c>
      <c r="H40" s="148" t="s">
        <v>101</v>
      </c>
      <c r="I40" s="147">
        <f t="shared" ca="1" si="2"/>
        <v>25.106606055884761</v>
      </c>
      <c r="J40" s="147">
        <v>20</v>
      </c>
      <c r="K40" s="149">
        <f ca="1">(0.2083*(100/'Proposed Pivot Conditions'!$V$7)^1.852*N40^1.852/('Proposed Pivot Conditions'!$U$16)^4.8655)*0.43353*(E40/100)</f>
        <v>5.7688924600302165E-3</v>
      </c>
      <c r="L40" s="149">
        <f>((2*D40*'Proposed Pivot Conditions'!$V$8*E40)/(('Proposed Pivot Conditions'!$R$10+'Proposed Pivot Conditions'!$V$9)^2))</f>
        <v>5.3290976085016535</v>
      </c>
      <c r="M40" s="148">
        <f t="shared" ca="1" si="0"/>
        <v>5.23</v>
      </c>
      <c r="N40" s="150">
        <f t="shared" ca="1" si="4"/>
        <v>153.57999999999976</v>
      </c>
      <c r="O40" s="43"/>
    </row>
    <row r="41" spans="2:16">
      <c r="B41" s="298"/>
      <c r="C41" s="151">
        <v>36</v>
      </c>
      <c r="D41" s="152">
        <v>502.1</v>
      </c>
      <c r="E41" s="153">
        <f t="shared" si="1"/>
        <v>8.9000000000000341</v>
      </c>
      <c r="F41" s="53" t="s">
        <v>67</v>
      </c>
      <c r="G41" s="53" t="s">
        <v>68</v>
      </c>
      <c r="H41" s="53" t="s">
        <v>101</v>
      </c>
      <c r="I41" s="153">
        <f t="shared" ca="1" si="2"/>
        <v>25.101195708005356</v>
      </c>
      <c r="J41" s="153">
        <v>20</v>
      </c>
      <c r="K41" s="154">
        <f ca="1">(0.2083*(100/'Proposed Pivot Conditions'!$V$7)^1.852*N41^1.852/('Proposed Pivot Conditions'!$U$16)^4.8655)*0.43353*(E41/100)</f>
        <v>5.4103478794046023E-3</v>
      </c>
      <c r="L41" s="154">
        <f>((2*D41*'Proposed Pivot Conditions'!$V$8*E41)/(('Proposed Pivot Conditions'!$R$10+'Proposed Pivot Conditions'!$V$9)^2))</f>
        <v>5.4252634007070091</v>
      </c>
      <c r="M41" s="53">
        <f t="shared" ca="1" si="0"/>
        <v>5.23</v>
      </c>
      <c r="N41" s="155">
        <f t="shared" ca="1" si="4"/>
        <v>148.34999999999977</v>
      </c>
      <c r="O41" s="43"/>
    </row>
    <row r="42" spans="2:16" ht="15.75" customHeight="1">
      <c r="B42" s="298"/>
      <c r="C42" s="145">
        <v>37</v>
      </c>
      <c r="D42" s="146">
        <v>511</v>
      </c>
      <c r="E42" s="147">
        <f t="shared" si="1"/>
        <v>8.8999999999999773</v>
      </c>
      <c r="F42" s="148" t="s">
        <v>67</v>
      </c>
      <c r="G42" s="148" t="s">
        <v>68</v>
      </c>
      <c r="H42" s="148" t="s">
        <v>101</v>
      </c>
      <c r="I42" s="147">
        <f t="shared" ca="1" si="2"/>
        <v>25.096133294063918</v>
      </c>
      <c r="J42" s="147">
        <v>20</v>
      </c>
      <c r="K42" s="149">
        <f ca="1">(0.2083*(100/'Proposed Pivot Conditions'!$V$7)^1.852*N42^1.852/('Proposed Pivot Conditions'!$U$16)^4.8655)*0.43353*(E42/100)</f>
        <v>5.0624139414375434E-3</v>
      </c>
      <c r="L42" s="149">
        <f>((2*D42*'Proposed Pivot Conditions'!$V$8*E42)/(('Proposed Pivot Conditions'!$R$10+'Proposed Pivot Conditions'!$V$9)^2))</f>
        <v>5.5214291929122963</v>
      </c>
      <c r="M42" s="148">
        <f t="shared" ca="1" si="0"/>
        <v>5.23</v>
      </c>
      <c r="N42" s="150">
        <f t="shared" ca="1" si="4"/>
        <v>143.11999999999978</v>
      </c>
      <c r="O42" s="48"/>
    </row>
    <row r="43" spans="2:16">
      <c r="B43" s="298"/>
      <c r="C43" s="151">
        <v>38</v>
      </c>
      <c r="D43" s="152">
        <v>519.9</v>
      </c>
      <c r="E43" s="153">
        <f t="shared" si="1"/>
        <v>8.8999999999999773</v>
      </c>
      <c r="F43" s="53" t="s">
        <v>67</v>
      </c>
      <c r="G43" s="53" t="s">
        <v>68</v>
      </c>
      <c r="H43" s="53" t="s">
        <v>102</v>
      </c>
      <c r="I43" s="153">
        <f t="shared" ca="1" si="2"/>
        <v>25.091432234679957</v>
      </c>
      <c r="J43" s="153">
        <v>20</v>
      </c>
      <c r="K43" s="154">
        <f ca="1">(0.2083*(100/'Proposed Pivot Conditions'!$V$7)^1.852*N43^1.852/('Proposed Pivot Conditions'!$U$16)^4.8655)*0.43353*(E43/100)</f>
        <v>4.7010593839601463E-3</v>
      </c>
      <c r="L43" s="154">
        <f>((2*D43*'Proposed Pivot Conditions'!$V$8*E43)/(('Proposed Pivot Conditions'!$R$10+'Proposed Pivot Conditions'!$V$9)^2))</f>
        <v>5.6175949851176181</v>
      </c>
      <c r="M43" s="53">
        <f t="shared" ca="1" si="0"/>
        <v>5.61</v>
      </c>
      <c r="N43" s="155">
        <f t="shared" ca="1" si="4"/>
        <v>137.50999999999976</v>
      </c>
      <c r="O43" s="48"/>
    </row>
    <row r="44" spans="2:16">
      <c r="B44" s="299"/>
      <c r="C44" s="163">
        <v>39</v>
      </c>
      <c r="D44" s="164">
        <v>528.79999999999995</v>
      </c>
      <c r="E44" s="165">
        <f t="shared" si="1"/>
        <v>8.8999999999999773</v>
      </c>
      <c r="F44" s="166" t="s">
        <v>67</v>
      </c>
      <c r="G44" s="166" t="s">
        <v>68</v>
      </c>
      <c r="H44" s="166" t="s">
        <v>105</v>
      </c>
      <c r="I44" s="165">
        <f t="shared" ca="1" si="2"/>
        <v>25.087164134825247</v>
      </c>
      <c r="J44" s="165">
        <v>20</v>
      </c>
      <c r="K44" s="167">
        <f ca="1">(0.2083*(100/'Proposed Pivot Conditions'!$V$7)^1.852*N44^1.852/('Proposed Pivot Conditions'!$U$16)^4.8655)*0.43353*(E44/100)</f>
        <v>4.268099854707573E-3</v>
      </c>
      <c r="L44" s="167">
        <f>((2*D44*'Proposed Pivot Conditions'!$V$8*E44)/(('Proposed Pivot Conditions'!$R$10+'Proposed Pivot Conditions'!$V$9)^2))</f>
        <v>5.71376077732294</v>
      </c>
      <c r="M44" s="166">
        <f t="shared" ca="1" si="0"/>
        <v>6.99</v>
      </c>
      <c r="N44" s="168">
        <f t="shared" ca="1" si="4"/>
        <v>130.51999999999975</v>
      </c>
      <c r="O44" s="48"/>
      <c r="P44" s="48"/>
    </row>
    <row r="45" spans="2:16">
      <c r="B45" s="297" t="s">
        <v>345</v>
      </c>
      <c r="C45" s="140">
        <v>40</v>
      </c>
      <c r="D45" s="141">
        <v>542</v>
      </c>
      <c r="E45" s="162">
        <f t="shared" si="1"/>
        <v>13.200000000000045</v>
      </c>
      <c r="F45" s="142" t="s">
        <v>67</v>
      </c>
      <c r="G45" s="142" t="s">
        <v>68</v>
      </c>
      <c r="H45" s="142" t="s">
        <v>106</v>
      </c>
      <c r="I45" s="162">
        <f t="shared" ca="1" si="2"/>
        <v>25.081482502167741</v>
      </c>
      <c r="J45" s="162">
        <v>20</v>
      </c>
      <c r="K45" s="143">
        <f ca="1">(0.2083*(100/'Proposed Pivot Conditions'!$V$7)^1.852*N45^1.852/('Proposed Pivot Conditions'!$U$16)^4.8655)*0.43353*(E45/100)</f>
        <v>5.6816326575043164E-3</v>
      </c>
      <c r="L45" s="143">
        <f>((2*D45*'Proposed Pivot Conditions'!$V$8*E45)/(('Proposed Pivot Conditions'!$R$10+'Proposed Pivot Conditions'!$V$9)^2))</f>
        <v>8.6858798605448602</v>
      </c>
      <c r="M45" s="142">
        <f t="shared" ca="1" si="0"/>
        <v>7.4</v>
      </c>
      <c r="N45" s="144">
        <f t="shared" ca="1" si="4"/>
        <v>123.11999999999975</v>
      </c>
      <c r="O45" s="48"/>
      <c r="P45" s="48"/>
    </row>
    <row r="46" spans="2:16">
      <c r="B46" s="298"/>
      <c r="C46" s="145">
        <v>41</v>
      </c>
      <c r="D46" s="146">
        <v>552</v>
      </c>
      <c r="E46" s="147">
        <f t="shared" si="1"/>
        <v>10</v>
      </c>
      <c r="F46" s="148" t="s">
        <v>67</v>
      </c>
      <c r="G46" s="148" t="s">
        <v>68</v>
      </c>
      <c r="H46" s="148" t="s">
        <v>104</v>
      </c>
      <c r="I46" s="147">
        <f t="shared" ca="1" si="2"/>
        <v>25.077591447145565</v>
      </c>
      <c r="J46" s="147">
        <v>20</v>
      </c>
      <c r="K46" s="149">
        <f ca="1">(0.2083*(100/'Proposed Pivot Conditions'!$V$7)^1.852*N46^1.852/('Proposed Pivot Conditions'!$U$16)^4.8655)*0.43353*(E46/100)</f>
        <v>3.8910550221746831E-3</v>
      </c>
      <c r="L46" s="149">
        <f>((2*D46*'Proposed Pivot Conditions'!$V$8*E46)/(('Proposed Pivot Conditions'!$R$10+'Proposed Pivot Conditions'!$V$9)^2))</f>
        <v>6.7016181413126832</v>
      </c>
      <c r="M46" s="148">
        <f t="shared" ca="1" si="0"/>
        <v>6.53</v>
      </c>
      <c r="N46" s="150">
        <f t="shared" ca="1" si="4"/>
        <v>116.58999999999975</v>
      </c>
      <c r="O46" s="48"/>
      <c r="P46" s="48"/>
    </row>
    <row r="47" spans="2:16" ht="15.75" customHeight="1">
      <c r="B47" s="298"/>
      <c r="C47" s="151">
        <v>42</v>
      </c>
      <c r="D47" s="152">
        <v>562</v>
      </c>
      <c r="E47" s="153">
        <f t="shared" si="1"/>
        <v>10</v>
      </c>
      <c r="F47" s="53" t="s">
        <v>67</v>
      </c>
      <c r="G47" s="53" t="s">
        <v>68</v>
      </c>
      <c r="H47" s="53" t="s">
        <v>104</v>
      </c>
      <c r="I47" s="153">
        <f t="shared" ca="1" si="2"/>
        <v>25.074094343612888</v>
      </c>
      <c r="J47" s="153">
        <v>20</v>
      </c>
      <c r="K47" s="154">
        <f ca="1">(0.2083*(100/'Proposed Pivot Conditions'!$V$7)^1.852*N47^1.852/('Proposed Pivot Conditions'!$U$16)^4.8655)*0.43353*(E47/100)</f>
        <v>3.4971035326765093E-3</v>
      </c>
      <c r="L47" s="154">
        <f>((2*D47*'Proposed Pivot Conditions'!$V$8*E47)/(('Proposed Pivot Conditions'!$R$10+'Proposed Pivot Conditions'!$V$9)^2))</f>
        <v>6.8230242670611014</v>
      </c>
      <c r="M47" s="53">
        <f t="shared" ca="1" si="0"/>
        <v>6.53</v>
      </c>
      <c r="N47" s="155">
        <f t="shared" ca="1" si="4"/>
        <v>110.05999999999975</v>
      </c>
      <c r="O47" s="48"/>
    </row>
    <row r="48" spans="2:16">
      <c r="B48" s="298"/>
      <c r="C48" s="145">
        <v>43</v>
      </c>
      <c r="D48" s="146">
        <v>572</v>
      </c>
      <c r="E48" s="147">
        <f t="shared" si="1"/>
        <v>10</v>
      </c>
      <c r="F48" s="148" t="s">
        <v>67</v>
      </c>
      <c r="G48" s="148" t="s">
        <v>68</v>
      </c>
      <c r="H48" s="148" t="s">
        <v>105</v>
      </c>
      <c r="I48" s="147">
        <f t="shared" ca="1" si="2"/>
        <v>25.070997411998817</v>
      </c>
      <c r="J48" s="147">
        <v>20</v>
      </c>
      <c r="K48" s="149">
        <f ca="1">(0.2083*(100/'Proposed Pivot Conditions'!$V$7)^1.852*N48^1.852/('Proposed Pivot Conditions'!$U$16)^4.8655)*0.43353*(E48/100)</f>
        <v>3.096931614070121E-3</v>
      </c>
      <c r="L48" s="149">
        <f>((2*D48*'Proposed Pivot Conditions'!$V$8*E48)/(('Proposed Pivot Conditions'!$R$10+'Proposed Pivot Conditions'!$V$9)^2))</f>
        <v>6.9444303928095197</v>
      </c>
      <c r="M48" s="148">
        <f t="shared" ca="1" si="0"/>
        <v>6.99</v>
      </c>
      <c r="N48" s="150">
        <f t="shared" ca="1" si="4"/>
        <v>103.06999999999975</v>
      </c>
      <c r="O48" s="48"/>
    </row>
    <row r="49" spans="2:16">
      <c r="B49" s="298"/>
      <c r="C49" s="151">
        <v>44</v>
      </c>
      <c r="D49" s="152">
        <v>582</v>
      </c>
      <c r="E49" s="153">
        <f t="shared" si="1"/>
        <v>10</v>
      </c>
      <c r="F49" s="53" t="s">
        <v>67</v>
      </c>
      <c r="G49" s="53" t="s">
        <v>68</v>
      </c>
      <c r="H49" s="53" t="s">
        <v>105</v>
      </c>
      <c r="I49" s="153">
        <f t="shared" ca="1" si="2"/>
        <v>25.068278175719673</v>
      </c>
      <c r="J49" s="153">
        <v>20</v>
      </c>
      <c r="K49" s="154">
        <f ca="1">(0.2083*(100/'Proposed Pivot Conditions'!$V$7)^1.852*N49^1.852/('Proposed Pivot Conditions'!$U$16)^4.8655)*0.43353*(E49/100)</f>
        <v>2.7192362791452537E-3</v>
      </c>
      <c r="L49" s="154">
        <f>((2*D49*'Proposed Pivot Conditions'!$V$8*E49)/(('Proposed Pivot Conditions'!$R$10+'Proposed Pivot Conditions'!$V$9)^2))</f>
        <v>7.0658365185579379</v>
      </c>
      <c r="M49" s="53">
        <f t="shared" ca="1" si="0"/>
        <v>6.99</v>
      </c>
      <c r="N49" s="155">
        <f t="shared" ca="1" si="4"/>
        <v>96.079999999999757</v>
      </c>
      <c r="O49" s="48"/>
    </row>
    <row r="50" spans="2:16">
      <c r="B50" s="298"/>
      <c r="C50" s="145">
        <v>45</v>
      </c>
      <c r="D50" s="146">
        <v>592</v>
      </c>
      <c r="E50" s="147">
        <f t="shared" si="1"/>
        <v>10</v>
      </c>
      <c r="F50" s="148" t="s">
        <v>67</v>
      </c>
      <c r="G50" s="148" t="s">
        <v>68</v>
      </c>
      <c r="H50" s="148" t="s">
        <v>105</v>
      </c>
      <c r="I50" s="147">
        <f t="shared" ca="1" si="2"/>
        <v>25.065913923136836</v>
      </c>
      <c r="J50" s="147">
        <v>20</v>
      </c>
      <c r="K50" s="149">
        <f ca="1">(0.2083*(100/'Proposed Pivot Conditions'!$V$7)^1.852*N50^1.852/('Proposed Pivot Conditions'!$U$16)^4.8655)*0.43353*(E50/100)</f>
        <v>2.3642525828354256E-3</v>
      </c>
      <c r="L50" s="149">
        <f>((2*D50*'Proposed Pivot Conditions'!$V$8*E50)/(('Proposed Pivot Conditions'!$R$10+'Proposed Pivot Conditions'!$V$9)^2))</f>
        <v>7.1872426443063562</v>
      </c>
      <c r="M50" s="148">
        <f t="shared" ca="1" si="0"/>
        <v>6.99</v>
      </c>
      <c r="N50" s="150">
        <f t="shared" ca="1" si="4"/>
        <v>89.089999999999762</v>
      </c>
      <c r="O50" s="48"/>
    </row>
    <row r="51" spans="2:16">
      <c r="B51" s="299"/>
      <c r="C51" s="156">
        <v>46</v>
      </c>
      <c r="D51" s="157">
        <v>602</v>
      </c>
      <c r="E51" s="158">
        <f t="shared" si="1"/>
        <v>10</v>
      </c>
      <c r="F51" s="159" t="s">
        <v>67</v>
      </c>
      <c r="G51" s="159" t="s">
        <v>68</v>
      </c>
      <c r="H51" s="159" t="s">
        <v>109</v>
      </c>
      <c r="I51" s="158">
        <f t="shared" ca="1" si="2"/>
        <v>25.063973317861606</v>
      </c>
      <c r="J51" s="158">
        <v>20</v>
      </c>
      <c r="K51" s="160">
        <f ca="1">(0.2083*(100/'Proposed Pivot Conditions'!$V$7)^1.852*N51^1.852/('Proposed Pivot Conditions'!$U$16)^4.8655)*0.43353*(E51/100)</f>
        <v>1.9406052752303584E-3</v>
      </c>
      <c r="L51" s="160">
        <f>((2*D51*'Proposed Pivot Conditions'!$V$8*E51)/(('Proposed Pivot Conditions'!$R$10+'Proposed Pivot Conditions'!$V$9)^2))</f>
        <v>7.3086487700547744</v>
      </c>
      <c r="M51" s="159">
        <f t="shared" ca="1" si="0"/>
        <v>9.01</v>
      </c>
      <c r="N51" s="161">
        <f ca="1">N50-M51</f>
        <v>80.079999999999757</v>
      </c>
      <c r="O51" s="48"/>
    </row>
    <row r="52" spans="2:16">
      <c r="B52" s="17"/>
      <c r="C52" s="169"/>
      <c r="D52" s="169"/>
      <c r="E52" s="169"/>
      <c r="F52" s="38"/>
      <c r="G52" s="38"/>
      <c r="H52" s="38"/>
      <c r="I52" s="38"/>
      <c r="J52" s="38"/>
      <c r="K52" s="38"/>
      <c r="L52" s="38"/>
      <c r="M52" s="38"/>
      <c r="N52" s="38"/>
      <c r="O52" s="48"/>
      <c r="P52" s="48"/>
    </row>
    <row r="53" spans="2:16">
      <c r="B53" s="284" t="s">
        <v>173</v>
      </c>
      <c r="C53" s="285"/>
      <c r="D53" s="285"/>
      <c r="E53" s="285"/>
      <c r="F53" s="285"/>
      <c r="G53" s="285"/>
      <c r="H53" s="285"/>
      <c r="I53" s="285"/>
      <c r="J53" s="285"/>
      <c r="K53" s="285"/>
      <c r="L53" s="285"/>
      <c r="M53" s="285"/>
      <c r="N53" s="286"/>
      <c r="O53" s="48"/>
      <c r="P53" s="48"/>
    </row>
    <row r="54" spans="2:16">
      <c r="B54" s="279"/>
      <c r="C54" s="276" t="s">
        <v>62</v>
      </c>
      <c r="D54" s="277"/>
      <c r="E54" s="277"/>
      <c r="F54" s="228" t="s">
        <v>59</v>
      </c>
      <c r="G54" s="276" t="s">
        <v>61</v>
      </c>
      <c r="H54" s="277"/>
      <c r="I54" s="277"/>
      <c r="J54" s="278"/>
      <c r="K54" s="276" t="s">
        <v>60</v>
      </c>
      <c r="L54" s="277"/>
      <c r="M54" s="277"/>
      <c r="N54" s="228" t="s">
        <v>179</v>
      </c>
      <c r="O54" s="48"/>
      <c r="P54" s="48"/>
    </row>
    <row r="55" spans="2:16">
      <c r="B55" s="280"/>
      <c r="C55" s="233" t="s">
        <v>53</v>
      </c>
      <c r="D55" s="234" t="s">
        <v>54</v>
      </c>
      <c r="E55" s="234" t="s">
        <v>55</v>
      </c>
      <c r="F55" s="139" t="s">
        <v>174</v>
      </c>
      <c r="G55" s="282" t="s">
        <v>176</v>
      </c>
      <c r="H55" s="283"/>
      <c r="I55" s="234" t="s">
        <v>178</v>
      </c>
      <c r="J55" s="138" t="s">
        <v>177</v>
      </c>
      <c r="K55" s="233" t="s">
        <v>171</v>
      </c>
      <c r="L55" s="234" t="s">
        <v>57</v>
      </c>
      <c r="M55" s="138" t="s">
        <v>56</v>
      </c>
      <c r="N55" s="170" t="s">
        <v>184</v>
      </c>
      <c r="O55" s="48"/>
      <c r="P55" s="48"/>
    </row>
    <row r="56" spans="2:16">
      <c r="B56" s="281"/>
      <c r="C56" s="229" t="s">
        <v>64</v>
      </c>
      <c r="D56" s="230" t="s">
        <v>63</v>
      </c>
      <c r="E56" s="230"/>
      <c r="F56" s="47" t="s">
        <v>175</v>
      </c>
      <c r="G56" s="272" t="s">
        <v>65</v>
      </c>
      <c r="H56" s="273"/>
      <c r="I56" s="230" t="s">
        <v>65</v>
      </c>
      <c r="J56" s="46" t="s">
        <v>65</v>
      </c>
      <c r="K56" s="229" t="s">
        <v>40</v>
      </c>
      <c r="L56" s="230" t="s">
        <v>40</v>
      </c>
      <c r="M56" s="46" t="s">
        <v>40</v>
      </c>
      <c r="N56" s="51" t="s">
        <v>63</v>
      </c>
      <c r="O56" s="48"/>
      <c r="P56" s="48"/>
    </row>
    <row r="57" spans="2:16">
      <c r="B57" s="171"/>
      <c r="C57" s="172">
        <v>80</v>
      </c>
      <c r="D57" s="232">
        <v>607</v>
      </c>
      <c r="E57" s="232" t="s">
        <v>240</v>
      </c>
      <c r="F57" s="174" t="s">
        <v>195</v>
      </c>
      <c r="G57" s="274">
        <f ca="1">I51</f>
        <v>25.063973317861606</v>
      </c>
      <c r="H57" s="275"/>
      <c r="I57" s="231">
        <v>0</v>
      </c>
      <c r="J57" s="231">
        <f ca="1">G57+I57</f>
        <v>25.063973317861606</v>
      </c>
      <c r="K57" s="176">
        <f ca="1">N51</f>
        <v>80.079999999999757</v>
      </c>
      <c r="L57" s="176">
        <f ca="1">INDEX(INDIRECT("Flow_"&amp;$E$57),MATCH(J57,INDIRECT("Pressure_"&amp;$E$57),TRUE),MATCH(F57,INDIRECT("Nozzle_"&amp;$E$57),TRUE))</f>
        <v>69</v>
      </c>
      <c r="M57" s="177">
        <f>((2*D57*'Proposed Pivot Conditions'!$V$8*'Proposed Pivot Conditions'!V9)/(('Proposed Pivot Conditions'!$R$10+'Proposed Pivot Conditions'!$V$9)^2))</f>
        <v>70.745777596118245</v>
      </c>
      <c r="N57" s="178">
        <f ca="1">INDEX(INDIRECT("Range_"&amp;$E$57),MATCH(J57,INDIRECT("Pressure_"&amp;$E$57),TRUE),MATCH(F57,INDIRECT("Nozzle_"&amp;$E$57),TRUE))/2</f>
        <v>83.5</v>
      </c>
      <c r="O57" s="48"/>
      <c r="P57" s="48"/>
    </row>
    <row r="58" spans="2:16">
      <c r="C58" s="43"/>
      <c r="D58" s="48"/>
      <c r="E58" s="48"/>
      <c r="F58" s="48"/>
      <c r="G58" s="48"/>
      <c r="H58" s="48"/>
      <c r="I58" s="48"/>
      <c r="J58" s="48"/>
      <c r="K58" s="48"/>
      <c r="L58" s="48"/>
      <c r="M58" s="48"/>
      <c r="N58" s="48"/>
      <c r="O58" s="48"/>
      <c r="P58" s="48"/>
    </row>
    <row r="89" ht="15.75" customHeight="1"/>
    <row r="129" ht="15.75" customHeight="1"/>
    <row r="169" ht="15.75" customHeight="1"/>
  </sheetData>
  <mergeCells count="37">
    <mergeCell ref="B25:B44"/>
    <mergeCell ref="Q25:R25"/>
    <mergeCell ref="G57:H57"/>
    <mergeCell ref="B45:B51"/>
    <mergeCell ref="B53:N53"/>
    <mergeCell ref="B54:B56"/>
    <mergeCell ref="C54:E54"/>
    <mergeCell ref="G54:J54"/>
    <mergeCell ref="K54:M54"/>
    <mergeCell ref="G55:H55"/>
    <mergeCell ref="G56:H56"/>
    <mergeCell ref="P14:W14"/>
    <mergeCell ref="B15:B24"/>
    <mergeCell ref="Q15:R15"/>
    <mergeCell ref="S15:T15"/>
    <mergeCell ref="U15:V15"/>
    <mergeCell ref="Q16:R16"/>
    <mergeCell ref="Q17:R17"/>
    <mergeCell ref="Q18:R18"/>
    <mergeCell ref="Q19:R19"/>
    <mergeCell ref="Q20:R20"/>
    <mergeCell ref="B6:B14"/>
    <mergeCell ref="Q21:R21"/>
    <mergeCell ref="Q22:R22"/>
    <mergeCell ref="Q23:R23"/>
    <mergeCell ref="Q24:R24"/>
    <mergeCell ref="P6:W6"/>
    <mergeCell ref="V7:W7"/>
    <mergeCell ref="R11:S11"/>
    <mergeCell ref="V11:W11"/>
    <mergeCell ref="R12:S12"/>
    <mergeCell ref="V12:W12"/>
    <mergeCell ref="B1:N1"/>
    <mergeCell ref="B2:B4"/>
    <mergeCell ref="C2:G2"/>
    <mergeCell ref="I2:K2"/>
    <mergeCell ref="L2:N2"/>
  </mergeCells>
  <dataValidations count="9">
    <dataValidation type="list" allowBlank="1" showInputMessage="1" showErrorMessage="1" sqref="H6:H51">
      <formula1>Nozzle_3TN</formula1>
    </dataValidation>
    <dataValidation type="list" allowBlank="1" showInputMessage="1" showErrorMessage="1" sqref="F6:F51">
      <formula1>INDIRECT("Sprinkler_"&amp;$R$11)</formula1>
    </dataValidation>
    <dataValidation type="list" allowBlank="1" showInputMessage="1" showErrorMessage="1" sqref="V12:W12">
      <formula1>Manufacturer_Endgun</formula1>
    </dataValidation>
    <dataValidation type="list" allowBlank="1" showInputMessage="1" showErrorMessage="1" sqref="V11:W11">
      <formula1>Manufacturer_Nozzle</formula1>
    </dataValidation>
    <dataValidation type="list" allowBlank="1" showInputMessage="1" showErrorMessage="1" sqref="R11:S11">
      <formula1>Manufacturer_Sprinkler</formula1>
    </dataValidation>
    <dataValidation type="list" allowBlank="1" showInputMessage="1" showErrorMessage="1" sqref="G6:G51">
      <formula1>INDIRECT("Data_"&amp;F6)</formula1>
    </dataValidation>
    <dataValidation type="list" allowBlank="1" showInputMessage="1" showErrorMessage="1" sqref="F57">
      <formula1>INDIRECT("Nozzle_"&amp;$E$57)</formula1>
    </dataValidation>
    <dataValidation type="list" allowBlank="1" showInputMessage="1" showErrorMessage="1" sqref="E57">
      <formula1>INDIRECT("Endgun_"&amp;$V$12)</formula1>
    </dataValidation>
    <dataValidation type="list" allowBlank="1" showInputMessage="1" showErrorMessage="1" sqref="R12:S12">
      <formula1>INDIRECT("Nozzle_"&amp;V11)</formula1>
    </dataValidation>
  </dataValidations>
  <printOptions horizontalCentered="1"/>
  <pageMargins left="0" right="0" top="0.5" bottom="0.5" header="0.51180555555555596" footer="0.51180555555555596"/>
  <pageSetup orientation="portrait" r:id="rId1"/>
  <headerFooter alignWithMargins="0"/>
  <rowBreaks count="1" manualBreakCount="1">
    <brk id="44" max="14" man="1"/>
  </rowBreaks>
</worksheet>
</file>

<file path=xl/worksheets/sheet5.xml><?xml version="1.0" encoding="utf-8"?>
<worksheet xmlns="http://schemas.openxmlformats.org/spreadsheetml/2006/main" xmlns:r="http://schemas.openxmlformats.org/officeDocument/2006/relationships">
  <dimension ref="A1:J32"/>
  <sheetViews>
    <sheetView zoomScaleNormal="100" workbookViewId="0">
      <selection activeCell="G2" sqref="G2"/>
    </sheetView>
  </sheetViews>
  <sheetFormatPr defaultRowHeight="15"/>
  <cols>
    <col min="1" max="5" width="14.28515625" style="196" customWidth="1"/>
    <col min="6" max="6" width="2.140625" style="196" customWidth="1"/>
    <col min="7" max="10" width="14.28515625" style="196" customWidth="1"/>
    <col min="11" max="16384" width="9.140625" style="196"/>
  </cols>
  <sheetData>
    <row r="1" spans="1:10">
      <c r="A1" s="217" t="s">
        <v>317</v>
      </c>
      <c r="B1" s="217" t="s">
        <v>313</v>
      </c>
      <c r="C1" s="217" t="s">
        <v>311</v>
      </c>
      <c r="D1" s="217" t="s">
        <v>314</v>
      </c>
      <c r="E1" s="217" t="s">
        <v>312</v>
      </c>
      <c r="G1" s="219" t="s">
        <v>315</v>
      </c>
      <c r="H1" s="219" t="s">
        <v>310</v>
      </c>
      <c r="I1" s="219" t="s">
        <v>316</v>
      </c>
      <c r="J1" s="219" t="s">
        <v>314</v>
      </c>
    </row>
    <row r="2" spans="1:10">
      <c r="A2" s="212">
        <v>0</v>
      </c>
      <c r="B2" s="211">
        <v>0</v>
      </c>
      <c r="C2" s="213">
        <v>0</v>
      </c>
      <c r="D2" s="213">
        <v>0</v>
      </c>
      <c r="E2" s="213">
        <f t="shared" ref="E2:E29" si="0">SUM(B2:D2)</f>
        <v>0</v>
      </c>
      <c r="G2" s="218">
        <f>Calculation1!E6</f>
        <v>25</v>
      </c>
      <c r="H2" s="211">
        <f ca="1">(OFFSET('VSD Cost Estimate'!A2,MATCH(G2,'VSD Cost Estimate'!$A$2:'VSD Cost Estimate'!$A$29,TRUE),1,1,1)-VLOOKUP(G2,'VSD Cost Estimate'!$A$2:'VSD Cost Estimate'!$D$29,2,TRUE))/(OFFSET('VSD Cost Estimate'!A2,MATCH(G2,'VSD Cost Estimate'!$A$2:'VSD Cost Estimate'!$A$29,TRUE),0,1,1)-VLOOKUP(G2,'VSD Cost Estimate'!$A$2:'VSD Cost Estimate'!$D$29,1,TRUE))*(G2-VLOOKUP(G2,'VSD Cost Estimate'!$A$2:'VSD Cost Estimate'!$D$29,1,TRUE))+VLOOKUP(G2,'VSD Cost Estimate'!$A$2:'VSD Cost Estimate'!$D$29,2,TRUE)</f>
        <v>2330</v>
      </c>
      <c r="I2" s="211">
        <f ca="1">(OFFSET('VSD Cost Estimate'!A2,MATCH(G2,'VSD Cost Estimate'!$A$2:'VSD Cost Estimate'!$A$29,TRUE),2,1,1)-VLOOKUP(G2,'VSD Cost Estimate'!$A$2:'VSD Cost Estimate'!$D$29,3,TRUE))/(OFFSET('VSD Cost Estimate'!A2,MATCH(G2,'VSD Cost Estimate'!$A$2:'VSD Cost Estimate'!$A$29,TRUE),0,1,1)-VLOOKUP(G2,'VSD Cost Estimate'!$A$2:'VSD Cost Estimate'!$D$29,1,TRUE))*(G2-VLOOKUP(G2,'VSD Cost Estimate'!$A$2:'VSD Cost Estimate'!$D$29,1,TRUE))+VLOOKUP(G2,'VSD Cost Estimate'!$A$2:'VSD Cost Estimate'!$D$29,3,TRUE)</f>
        <v>1900</v>
      </c>
      <c r="J2" s="211">
        <f ca="1">(OFFSET('VSD Cost Estimate'!A2,MATCH(G2,'VSD Cost Estimate'!$A$2:'VSD Cost Estimate'!$A$29,TRUE),3,1,1)-VLOOKUP(G2,'VSD Cost Estimate'!$A$2:'VSD Cost Estimate'!$D$29,4,TRUE))/(OFFSET('VSD Cost Estimate'!A2,MATCH(G2,'VSD Cost Estimate'!$A$2:'VSD Cost Estimate'!$A$29,TRUE),0,1,1)-VLOOKUP(G2,'VSD Cost Estimate'!$A$2:'VSD Cost Estimate'!$D$29,1,TRUE))*(G2-VLOOKUP(G2,'VSD Cost Estimate'!$A$2:'VSD Cost Estimate'!$D$29,1,TRUE))+VLOOKUP(G2,'VSD Cost Estimate'!$A$2:'VSD Cost Estimate'!$D$29,4,TRUE)</f>
        <v>1000</v>
      </c>
    </row>
    <row r="3" spans="1:10">
      <c r="A3" s="214">
        <v>0.5</v>
      </c>
      <c r="B3" s="211">
        <f t="shared" ref="B3:B9" si="1">ROUND(A3*170.54+155.14,-1)</f>
        <v>240</v>
      </c>
      <c r="C3" s="213">
        <v>1360</v>
      </c>
      <c r="D3" s="213">
        <v>500</v>
      </c>
      <c r="E3" s="213">
        <f t="shared" si="0"/>
        <v>2100</v>
      </c>
    </row>
    <row r="4" spans="1:10" ht="15" customHeight="1">
      <c r="A4" s="212">
        <v>0.75</v>
      </c>
      <c r="B4" s="211">
        <f t="shared" si="1"/>
        <v>280</v>
      </c>
      <c r="C4" s="213">
        <v>1370</v>
      </c>
      <c r="D4" s="213">
        <v>500</v>
      </c>
      <c r="E4" s="213">
        <f t="shared" si="0"/>
        <v>2150</v>
      </c>
      <c r="G4" s="197"/>
    </row>
    <row r="5" spans="1:10" ht="15" customHeight="1">
      <c r="A5" s="212">
        <v>1</v>
      </c>
      <c r="B5" s="211">
        <f t="shared" si="1"/>
        <v>330</v>
      </c>
      <c r="C5" s="213">
        <v>1380</v>
      </c>
      <c r="D5" s="213">
        <v>500</v>
      </c>
      <c r="E5" s="213">
        <f t="shared" si="0"/>
        <v>2210</v>
      </c>
      <c r="G5" s="199"/>
    </row>
    <row r="6" spans="1:10" ht="15" customHeight="1">
      <c r="A6" s="214">
        <v>2</v>
      </c>
      <c r="B6" s="211">
        <f t="shared" si="1"/>
        <v>500</v>
      </c>
      <c r="C6" s="213">
        <v>1400</v>
      </c>
      <c r="D6" s="213">
        <v>500</v>
      </c>
      <c r="E6" s="213">
        <f t="shared" si="0"/>
        <v>2400</v>
      </c>
      <c r="G6" s="200"/>
      <c r="H6" s="200"/>
      <c r="I6" s="200"/>
      <c r="J6" s="200"/>
    </row>
    <row r="7" spans="1:10" ht="15" customHeight="1">
      <c r="A7" s="214">
        <v>3</v>
      </c>
      <c r="B7" s="211">
        <f t="shared" si="1"/>
        <v>670</v>
      </c>
      <c r="C7" s="213">
        <v>1430</v>
      </c>
      <c r="D7" s="213">
        <v>500</v>
      </c>
      <c r="E7" s="213">
        <f t="shared" si="0"/>
        <v>2600</v>
      </c>
    </row>
    <row r="8" spans="1:10" ht="15" customHeight="1">
      <c r="A8" s="214">
        <v>5</v>
      </c>
      <c r="B8" s="211">
        <f t="shared" si="1"/>
        <v>1010</v>
      </c>
      <c r="C8" s="213">
        <v>1470</v>
      </c>
      <c r="D8" s="213">
        <v>500</v>
      </c>
      <c r="E8" s="213">
        <f t="shared" si="0"/>
        <v>2980</v>
      </c>
    </row>
    <row r="9" spans="1:10" ht="15" customHeight="1">
      <c r="A9" s="214">
        <v>7.5</v>
      </c>
      <c r="B9" s="211">
        <f t="shared" si="1"/>
        <v>1430</v>
      </c>
      <c r="C9" s="213">
        <v>1500</v>
      </c>
      <c r="D9" s="213">
        <v>500</v>
      </c>
      <c r="E9" s="213">
        <f t="shared" si="0"/>
        <v>3430</v>
      </c>
      <c r="G9" s="200"/>
      <c r="H9" s="200"/>
      <c r="I9" s="200"/>
      <c r="J9" s="200"/>
    </row>
    <row r="10" spans="1:10" ht="15" customHeight="1">
      <c r="A10" s="214">
        <v>10</v>
      </c>
      <c r="B10" s="211">
        <f t="shared" ref="B10:B29" si="2">ROUND(A10*35.316+1448.4,-1)</f>
        <v>1800</v>
      </c>
      <c r="C10" s="213">
        <v>1540</v>
      </c>
      <c r="D10" s="213">
        <v>500</v>
      </c>
      <c r="E10" s="213">
        <f t="shared" si="0"/>
        <v>3840</v>
      </c>
      <c r="G10" s="200"/>
      <c r="H10" s="200"/>
      <c r="I10" s="200"/>
      <c r="J10" s="200"/>
    </row>
    <row r="11" spans="1:10" ht="15" customHeight="1">
      <c r="A11" s="214">
        <v>15</v>
      </c>
      <c r="B11" s="211">
        <f t="shared" si="2"/>
        <v>1980</v>
      </c>
      <c r="C11" s="213">
        <v>1630</v>
      </c>
      <c r="D11" s="213">
        <v>1000</v>
      </c>
      <c r="E11" s="213">
        <f t="shared" si="0"/>
        <v>4610</v>
      </c>
      <c r="G11" s="200"/>
      <c r="H11" s="200"/>
      <c r="I11" s="200"/>
      <c r="J11" s="200"/>
    </row>
    <row r="12" spans="1:10" ht="15" customHeight="1">
      <c r="A12" s="214">
        <v>20</v>
      </c>
      <c r="B12" s="211">
        <f t="shared" si="2"/>
        <v>2150</v>
      </c>
      <c r="C12" s="213">
        <v>1710</v>
      </c>
      <c r="D12" s="213">
        <v>1000</v>
      </c>
      <c r="E12" s="213">
        <f t="shared" si="0"/>
        <v>4860</v>
      </c>
    </row>
    <row r="13" spans="1:10" ht="15" customHeight="1">
      <c r="A13" s="214">
        <v>25</v>
      </c>
      <c r="B13" s="211">
        <f t="shared" si="2"/>
        <v>2330</v>
      </c>
      <c r="C13" s="213">
        <v>1900</v>
      </c>
      <c r="D13" s="213">
        <v>1000</v>
      </c>
      <c r="E13" s="213">
        <f t="shared" si="0"/>
        <v>5230</v>
      </c>
    </row>
    <row r="14" spans="1:10" ht="15" customHeight="1">
      <c r="A14" s="214">
        <v>30</v>
      </c>
      <c r="B14" s="211">
        <f t="shared" si="2"/>
        <v>2510</v>
      </c>
      <c r="C14" s="213">
        <v>1940</v>
      </c>
      <c r="D14" s="213">
        <v>1200</v>
      </c>
      <c r="E14" s="213">
        <f t="shared" si="0"/>
        <v>5650</v>
      </c>
    </row>
    <row r="15" spans="1:10" ht="15" customHeight="1">
      <c r="A15" s="214">
        <v>40</v>
      </c>
      <c r="B15" s="211">
        <f t="shared" si="2"/>
        <v>2860</v>
      </c>
      <c r="C15" s="213">
        <v>1960</v>
      </c>
      <c r="D15" s="213">
        <v>1200</v>
      </c>
      <c r="E15" s="213">
        <f t="shared" si="0"/>
        <v>6020</v>
      </c>
    </row>
    <row r="16" spans="1:10" ht="15" customHeight="1">
      <c r="A16" s="214">
        <v>50</v>
      </c>
      <c r="B16" s="211">
        <f t="shared" si="2"/>
        <v>3210</v>
      </c>
      <c r="C16" s="213">
        <v>2130</v>
      </c>
      <c r="D16" s="213">
        <v>1500</v>
      </c>
      <c r="E16" s="213">
        <f t="shared" si="0"/>
        <v>6840</v>
      </c>
    </row>
    <row r="17" spans="1:6" ht="15" customHeight="1">
      <c r="A17" s="214">
        <v>60</v>
      </c>
      <c r="B17" s="211">
        <f t="shared" si="2"/>
        <v>3570</v>
      </c>
      <c r="C17" s="213">
        <v>2580</v>
      </c>
      <c r="D17" s="213">
        <v>1800</v>
      </c>
      <c r="E17" s="213">
        <f t="shared" si="0"/>
        <v>7950</v>
      </c>
    </row>
    <row r="18" spans="1:6" ht="15" customHeight="1">
      <c r="A18" s="214">
        <v>75</v>
      </c>
      <c r="B18" s="211">
        <f t="shared" si="2"/>
        <v>4100</v>
      </c>
      <c r="C18" s="213">
        <v>2890</v>
      </c>
      <c r="D18" s="213">
        <v>1900</v>
      </c>
      <c r="E18" s="213">
        <f t="shared" si="0"/>
        <v>8890</v>
      </c>
    </row>
    <row r="19" spans="1:6" ht="15" customHeight="1">
      <c r="A19" s="214">
        <v>100</v>
      </c>
      <c r="B19" s="211">
        <f t="shared" si="2"/>
        <v>4980</v>
      </c>
      <c r="C19" s="213">
        <v>3600</v>
      </c>
      <c r="D19" s="213">
        <v>2000</v>
      </c>
      <c r="E19" s="213">
        <f t="shared" si="0"/>
        <v>10580</v>
      </c>
    </row>
    <row r="20" spans="1:6" ht="15" customHeight="1">
      <c r="A20" s="214">
        <v>125</v>
      </c>
      <c r="B20" s="211">
        <f t="shared" si="2"/>
        <v>5860</v>
      </c>
      <c r="C20" s="213">
        <v>4480</v>
      </c>
      <c r="D20" s="213">
        <v>2000</v>
      </c>
      <c r="E20" s="213">
        <f t="shared" si="0"/>
        <v>12340</v>
      </c>
    </row>
    <row r="21" spans="1:6" ht="15" customHeight="1">
      <c r="A21" s="214">
        <v>150</v>
      </c>
      <c r="B21" s="211">
        <f t="shared" si="2"/>
        <v>6750</v>
      </c>
      <c r="C21" s="213">
        <v>5100</v>
      </c>
      <c r="D21" s="213">
        <v>2000</v>
      </c>
      <c r="E21" s="213">
        <f t="shared" si="0"/>
        <v>13850</v>
      </c>
    </row>
    <row r="22" spans="1:6" ht="15" customHeight="1">
      <c r="A22" s="214">
        <v>200</v>
      </c>
      <c r="B22" s="211">
        <f t="shared" si="2"/>
        <v>8510</v>
      </c>
      <c r="C22" s="213">
        <v>6350</v>
      </c>
      <c r="D22" s="213">
        <v>3000</v>
      </c>
      <c r="E22" s="213">
        <f t="shared" si="0"/>
        <v>17860</v>
      </c>
    </row>
    <row r="23" spans="1:6" ht="15" customHeight="1">
      <c r="A23" s="214">
        <v>250</v>
      </c>
      <c r="B23" s="211">
        <f t="shared" si="2"/>
        <v>10280</v>
      </c>
      <c r="C23" s="213">
        <v>7600</v>
      </c>
      <c r="D23" s="213">
        <v>3000</v>
      </c>
      <c r="E23" s="213">
        <f t="shared" si="0"/>
        <v>20880</v>
      </c>
    </row>
    <row r="24" spans="1:6" ht="15" customHeight="1">
      <c r="A24" s="214">
        <v>300</v>
      </c>
      <c r="B24" s="211">
        <f t="shared" si="2"/>
        <v>12040</v>
      </c>
      <c r="C24" s="213">
        <v>8850</v>
      </c>
      <c r="D24" s="213">
        <v>3000</v>
      </c>
      <c r="E24" s="213">
        <f t="shared" si="0"/>
        <v>23890</v>
      </c>
    </row>
    <row r="25" spans="1:6" ht="15" customHeight="1">
      <c r="A25" s="214">
        <v>350</v>
      </c>
      <c r="B25" s="211">
        <f t="shared" si="2"/>
        <v>13810</v>
      </c>
      <c r="C25" s="213">
        <v>10100</v>
      </c>
      <c r="D25" s="213">
        <v>3000</v>
      </c>
      <c r="E25" s="213">
        <f t="shared" si="0"/>
        <v>26910</v>
      </c>
    </row>
    <row r="26" spans="1:6" ht="15" customHeight="1">
      <c r="A26" s="214">
        <v>400</v>
      </c>
      <c r="B26" s="211">
        <f t="shared" si="2"/>
        <v>15570</v>
      </c>
      <c r="C26" s="213">
        <v>11350</v>
      </c>
      <c r="D26" s="213">
        <v>3500</v>
      </c>
      <c r="E26" s="213">
        <f t="shared" si="0"/>
        <v>30420</v>
      </c>
    </row>
    <row r="27" spans="1:6" ht="15" customHeight="1">
      <c r="A27" s="214">
        <v>450</v>
      </c>
      <c r="B27" s="211">
        <f t="shared" si="2"/>
        <v>17340</v>
      </c>
      <c r="C27" s="213">
        <v>12600</v>
      </c>
      <c r="D27" s="213">
        <v>3500</v>
      </c>
      <c r="E27" s="213">
        <f t="shared" si="0"/>
        <v>33440</v>
      </c>
    </row>
    <row r="28" spans="1:6" ht="15" customHeight="1">
      <c r="A28" s="214">
        <v>500</v>
      </c>
      <c r="B28" s="211">
        <f t="shared" si="2"/>
        <v>19110</v>
      </c>
      <c r="C28" s="213">
        <v>13850</v>
      </c>
      <c r="D28" s="213">
        <v>3500</v>
      </c>
      <c r="E28" s="213">
        <f t="shared" si="0"/>
        <v>36460</v>
      </c>
    </row>
    <row r="29" spans="1:6" ht="15" customHeight="1">
      <c r="A29" s="215">
        <v>600</v>
      </c>
      <c r="B29" s="198">
        <f t="shared" si="2"/>
        <v>22640</v>
      </c>
      <c r="C29" s="216">
        <v>16350</v>
      </c>
      <c r="D29" s="216">
        <v>3500</v>
      </c>
      <c r="E29" s="216">
        <f t="shared" si="0"/>
        <v>42490</v>
      </c>
    </row>
    <row r="30" spans="1:6" ht="15" customHeight="1"/>
    <row r="32" spans="1:6">
      <c r="F32" s="201"/>
    </row>
  </sheetData>
  <sheetProtection password="E0B2" sheet="1" objects="1" scenarios="1"/>
  <dataValidations count="4">
    <dataValidation allowBlank="1" showInputMessage="1" showErrorMessage="1" promptTitle="Input Cell" prompt="Input or Link the desired motor horsepower in this cell." sqref="G2"/>
    <dataValidation allowBlank="1" showInputMessage="1" showErrorMessage="1" promptTitle="Output Cell" prompt="Outputs the interpolated VSD cost for the inputed motor horsepower.  Cost only includes Variable Speed Drive." sqref="H2"/>
    <dataValidation allowBlank="1" showInputMessage="1" showErrorMessage="1" promptTitle="Output Cell" prompt="Outputs the interpolated equipment cost for the inputed motor horsepower.  Cost only includes a manual bypass with circuit breaker and a 3 phase line reactor." sqref="I2"/>
    <dataValidation allowBlank="1" showInputMessage="1" showErrorMessage="1" promptTitle="Output Cell" prompt="Outputs the interpolated installation cost for the inputed motor horsepower.  Cost only includes labor." sqref="J2"/>
  </dataValidations>
  <pageMargins left="0.75" right="0.75" top="1" bottom="1" header="0.5" footer="0.5"/>
  <pageSetup orientation="portrait" r:id="rId1"/>
  <headerFooter alignWithMargins="0"/>
  <tableParts count="2">
    <tablePart r:id="rId2"/>
    <tablePart r:id="rId3"/>
  </tableParts>
</worksheet>
</file>

<file path=xl/worksheets/sheet6.xml><?xml version="1.0" encoding="utf-8"?>
<worksheet xmlns="http://schemas.openxmlformats.org/spreadsheetml/2006/main" xmlns:r="http://schemas.openxmlformats.org/officeDocument/2006/relationships">
  <dimension ref="A1:N43"/>
  <sheetViews>
    <sheetView workbookViewId="0">
      <selection activeCell="A4" sqref="A4"/>
    </sheetView>
  </sheetViews>
  <sheetFormatPr defaultRowHeight="12.75"/>
  <cols>
    <col min="1" max="1" width="28.5703125" style="55" customWidth="1"/>
    <col min="2" max="2" width="2.140625" style="55" customWidth="1"/>
    <col min="3" max="3" width="28.5703125" style="55" customWidth="1"/>
    <col min="4" max="4" width="2.140625" style="55" customWidth="1"/>
    <col min="5" max="5" width="7.140625" style="55" customWidth="1"/>
    <col min="6" max="6" width="17.85546875" style="55" customWidth="1"/>
    <col min="7" max="14" width="7.140625" style="55" customWidth="1"/>
    <col min="15" max="15" width="2.140625" style="55" customWidth="1"/>
    <col min="16" max="16384" width="9.140625" style="55"/>
  </cols>
  <sheetData>
    <row r="1" spans="1:14" ht="13.5" thickBot="1">
      <c r="A1" s="61" t="s">
        <v>188</v>
      </c>
      <c r="B1" s="54"/>
      <c r="C1" s="61" t="s">
        <v>187</v>
      </c>
      <c r="D1" s="54"/>
      <c r="E1" s="81" t="s">
        <v>59</v>
      </c>
      <c r="F1" s="87" t="s">
        <v>83</v>
      </c>
      <c r="G1" s="100">
        <v>6</v>
      </c>
      <c r="H1" s="100">
        <v>10</v>
      </c>
      <c r="I1" s="100">
        <v>15</v>
      </c>
      <c r="J1" s="100">
        <v>20</v>
      </c>
      <c r="K1" s="100">
        <v>25</v>
      </c>
      <c r="L1" s="100">
        <v>30</v>
      </c>
      <c r="M1" s="100">
        <v>40</v>
      </c>
      <c r="N1" s="101">
        <v>50</v>
      </c>
    </row>
    <row r="2" spans="1:14" ht="13.5" thickTop="1">
      <c r="A2" s="62" t="s">
        <v>80</v>
      </c>
      <c r="B2" s="56"/>
      <c r="C2" s="62" t="s">
        <v>256</v>
      </c>
      <c r="D2" s="56"/>
      <c r="E2" s="88" t="s">
        <v>84</v>
      </c>
      <c r="F2" s="89" t="s">
        <v>126</v>
      </c>
      <c r="G2" s="90">
        <v>0.34</v>
      </c>
      <c r="H2" s="90">
        <v>0.44</v>
      </c>
      <c r="I2" s="90">
        <v>0.53</v>
      </c>
      <c r="J2" s="90">
        <v>0.62</v>
      </c>
      <c r="K2" s="90">
        <v>0.69</v>
      </c>
      <c r="L2" s="90">
        <v>0.76</v>
      </c>
      <c r="M2" s="90">
        <v>0.87</v>
      </c>
      <c r="N2" s="91">
        <v>0.97</v>
      </c>
    </row>
    <row r="3" spans="1:14">
      <c r="A3" s="56"/>
      <c r="B3" s="56"/>
      <c r="C3" s="56"/>
      <c r="D3" s="56"/>
      <c r="E3" s="92" t="s">
        <v>85</v>
      </c>
      <c r="F3" s="93" t="s">
        <v>127</v>
      </c>
      <c r="G3" s="94">
        <v>0.42</v>
      </c>
      <c r="H3" s="94">
        <v>0.54</v>
      </c>
      <c r="I3" s="94">
        <v>0.66</v>
      </c>
      <c r="J3" s="94">
        <v>0.76</v>
      </c>
      <c r="K3" s="94">
        <v>0.85</v>
      </c>
      <c r="L3" s="94">
        <v>0.93</v>
      </c>
      <c r="M3" s="94">
        <v>1.07</v>
      </c>
      <c r="N3" s="95">
        <v>1.2</v>
      </c>
    </row>
    <row r="4" spans="1:14">
      <c r="A4" s="56"/>
      <c r="B4" s="56"/>
      <c r="C4" s="56"/>
      <c r="D4" s="56"/>
      <c r="E4" s="88" t="s">
        <v>86</v>
      </c>
      <c r="F4" s="89" t="s">
        <v>128</v>
      </c>
      <c r="G4" s="90">
        <v>0.5</v>
      </c>
      <c r="H4" s="90">
        <v>0.65</v>
      </c>
      <c r="I4" s="90">
        <v>0.79</v>
      </c>
      <c r="J4" s="90">
        <v>0.92</v>
      </c>
      <c r="K4" s="90">
        <v>1.02</v>
      </c>
      <c r="L4" s="90">
        <v>1.1200000000000001</v>
      </c>
      <c r="M4" s="90">
        <v>1.29</v>
      </c>
      <c r="N4" s="91">
        <v>1.45</v>
      </c>
    </row>
    <row r="5" spans="1:14">
      <c r="A5" s="56"/>
      <c r="B5" s="56"/>
      <c r="C5" s="56"/>
      <c r="D5" s="56"/>
      <c r="E5" s="92" t="s">
        <v>87</v>
      </c>
      <c r="F5" s="93" t="s">
        <v>129</v>
      </c>
      <c r="G5" s="94">
        <v>0.61</v>
      </c>
      <c r="H5" s="94">
        <v>0.79</v>
      </c>
      <c r="I5" s="94">
        <v>0.96</v>
      </c>
      <c r="J5" s="94">
        <v>1.1100000000000001</v>
      </c>
      <c r="K5" s="94">
        <v>1.24</v>
      </c>
      <c r="L5" s="94">
        <v>1.36</v>
      </c>
      <c r="M5" s="94">
        <v>1.57</v>
      </c>
      <c r="N5" s="95">
        <v>1.76</v>
      </c>
    </row>
    <row r="6" spans="1:14">
      <c r="A6" s="56"/>
      <c r="B6" s="56"/>
      <c r="C6" s="56"/>
      <c r="D6" s="56"/>
      <c r="E6" s="88" t="s">
        <v>88</v>
      </c>
      <c r="F6" s="89" t="s">
        <v>130</v>
      </c>
      <c r="G6" s="90">
        <v>0.71</v>
      </c>
      <c r="H6" s="90">
        <v>0.92</v>
      </c>
      <c r="I6" s="90">
        <v>1.1299999999999999</v>
      </c>
      <c r="J6" s="90">
        <v>1.3</v>
      </c>
      <c r="K6" s="90">
        <v>1.46</v>
      </c>
      <c r="L6" s="90">
        <v>1.59</v>
      </c>
      <c r="M6" s="90">
        <v>1.84</v>
      </c>
      <c r="N6" s="91">
        <v>2.06</v>
      </c>
    </row>
    <row r="7" spans="1:14">
      <c r="A7" s="56"/>
      <c r="B7" s="56"/>
      <c r="C7" s="56"/>
      <c r="D7" s="56"/>
      <c r="E7" s="92" t="s">
        <v>89</v>
      </c>
      <c r="F7" s="93" t="s">
        <v>131</v>
      </c>
      <c r="G7" s="94">
        <v>0.82</v>
      </c>
      <c r="H7" s="94">
        <v>1.06</v>
      </c>
      <c r="I7" s="94">
        <v>1.29</v>
      </c>
      <c r="J7" s="94">
        <v>1.49</v>
      </c>
      <c r="K7" s="94">
        <v>1.67</v>
      </c>
      <c r="L7" s="94">
        <v>1.83</v>
      </c>
      <c r="M7" s="94">
        <v>2.11</v>
      </c>
      <c r="N7" s="95">
        <v>2.36</v>
      </c>
    </row>
    <row r="8" spans="1:14">
      <c r="A8" s="56"/>
      <c r="B8" s="56"/>
      <c r="C8" s="56"/>
      <c r="D8" s="56"/>
      <c r="E8" s="88" t="s">
        <v>90</v>
      </c>
      <c r="F8" s="89" t="s">
        <v>132</v>
      </c>
      <c r="G8" s="90">
        <v>0.95</v>
      </c>
      <c r="H8" s="90">
        <v>1.23</v>
      </c>
      <c r="I8" s="90">
        <v>1.51</v>
      </c>
      <c r="J8" s="90">
        <v>1.74</v>
      </c>
      <c r="K8" s="90">
        <v>1.95</v>
      </c>
      <c r="L8" s="90">
        <v>2.14</v>
      </c>
      <c r="M8" s="90">
        <v>2.4700000000000002</v>
      </c>
      <c r="N8" s="91">
        <v>2.76</v>
      </c>
    </row>
    <row r="9" spans="1:14">
      <c r="A9" s="56"/>
      <c r="B9" s="56"/>
      <c r="C9" s="56"/>
      <c r="D9" s="56"/>
      <c r="E9" s="92" t="s">
        <v>91</v>
      </c>
      <c r="F9" s="93" t="s">
        <v>133</v>
      </c>
      <c r="G9" s="94">
        <v>1.08</v>
      </c>
      <c r="H9" s="94">
        <v>1.4</v>
      </c>
      <c r="I9" s="94">
        <v>1.71</v>
      </c>
      <c r="J9" s="94">
        <v>1.98</v>
      </c>
      <c r="K9" s="94">
        <v>2.21</v>
      </c>
      <c r="L9" s="94">
        <v>2.42</v>
      </c>
      <c r="M9" s="94">
        <v>2.8</v>
      </c>
      <c r="N9" s="95">
        <v>3.13</v>
      </c>
    </row>
    <row r="10" spans="1:14">
      <c r="A10" s="56"/>
      <c r="B10" s="56"/>
      <c r="C10" s="56"/>
      <c r="D10" s="56"/>
      <c r="E10" s="88" t="s">
        <v>92</v>
      </c>
      <c r="F10" s="89" t="s">
        <v>134</v>
      </c>
      <c r="G10" s="90">
        <v>1.22</v>
      </c>
      <c r="H10" s="90">
        <v>1.58</v>
      </c>
      <c r="I10" s="90">
        <v>1.93</v>
      </c>
      <c r="J10" s="90">
        <v>2.23</v>
      </c>
      <c r="K10" s="90">
        <v>2.5</v>
      </c>
      <c r="L10" s="90">
        <v>2.74</v>
      </c>
      <c r="M10" s="90">
        <v>3.16</v>
      </c>
      <c r="N10" s="91">
        <v>3.53</v>
      </c>
    </row>
    <row r="11" spans="1:14">
      <c r="A11" s="56"/>
      <c r="B11" s="56"/>
      <c r="C11" s="56"/>
      <c r="D11" s="56"/>
      <c r="E11" s="92" t="s">
        <v>93</v>
      </c>
      <c r="F11" s="93" t="s">
        <v>135</v>
      </c>
      <c r="G11" s="94">
        <v>1.36</v>
      </c>
      <c r="H11" s="94">
        <v>1.75</v>
      </c>
      <c r="I11" s="94">
        <v>2.14</v>
      </c>
      <c r="J11" s="94">
        <v>2.48</v>
      </c>
      <c r="K11" s="94">
        <v>2.77</v>
      </c>
      <c r="L11" s="94">
        <v>3.03</v>
      </c>
      <c r="M11" s="94">
        <v>3.5</v>
      </c>
      <c r="N11" s="95">
        <v>3.91</v>
      </c>
    </row>
    <row r="12" spans="1:14">
      <c r="A12" s="56"/>
      <c r="B12" s="56"/>
      <c r="C12" s="56"/>
      <c r="D12" s="56"/>
      <c r="E12" s="88" t="s">
        <v>94</v>
      </c>
      <c r="F12" s="89" t="s">
        <v>136</v>
      </c>
      <c r="G12" s="90">
        <v>1.53</v>
      </c>
      <c r="H12" s="90">
        <v>1.97</v>
      </c>
      <c r="I12" s="90">
        <v>2.41</v>
      </c>
      <c r="J12" s="90">
        <v>2.79</v>
      </c>
      <c r="K12" s="90">
        <v>3.12</v>
      </c>
      <c r="L12" s="90">
        <v>3.41</v>
      </c>
      <c r="M12" s="90">
        <v>3.94</v>
      </c>
      <c r="N12" s="91">
        <v>4.41</v>
      </c>
    </row>
    <row r="13" spans="1:14">
      <c r="A13" s="56"/>
      <c r="B13" s="56"/>
      <c r="C13" s="56"/>
      <c r="D13" s="56"/>
      <c r="E13" s="92" t="s">
        <v>95</v>
      </c>
      <c r="F13" s="93" t="s">
        <v>137</v>
      </c>
      <c r="G13" s="94">
        <v>1.7</v>
      </c>
      <c r="H13" s="94">
        <v>2.19</v>
      </c>
      <c r="I13" s="94">
        <v>2.69</v>
      </c>
      <c r="J13" s="94">
        <v>3.1</v>
      </c>
      <c r="K13" s="94">
        <v>3.47</v>
      </c>
      <c r="L13" s="94">
        <v>3.8</v>
      </c>
      <c r="M13" s="94">
        <v>4.3899999999999997</v>
      </c>
      <c r="N13" s="95">
        <v>4.9000000000000004</v>
      </c>
    </row>
    <row r="14" spans="1:14">
      <c r="A14" s="56"/>
      <c r="B14" s="56"/>
      <c r="C14" s="56"/>
      <c r="D14" s="56"/>
      <c r="E14" s="88" t="s">
        <v>96</v>
      </c>
      <c r="F14" s="89" t="s">
        <v>138</v>
      </c>
      <c r="G14" s="90">
        <v>1.84</v>
      </c>
      <c r="H14" s="90">
        <v>2.38</v>
      </c>
      <c r="I14" s="90">
        <v>2.91</v>
      </c>
      <c r="J14" s="90">
        <v>3.36</v>
      </c>
      <c r="K14" s="90">
        <v>3.76</v>
      </c>
      <c r="L14" s="90">
        <v>4.12</v>
      </c>
      <c r="M14" s="90">
        <v>4.76</v>
      </c>
      <c r="N14" s="91">
        <v>5.32</v>
      </c>
    </row>
    <row r="15" spans="1:14">
      <c r="A15" s="56"/>
      <c r="B15" s="56"/>
      <c r="C15" s="56"/>
      <c r="D15" s="56"/>
      <c r="E15" s="92" t="s">
        <v>97</v>
      </c>
      <c r="F15" s="93" t="s">
        <v>139</v>
      </c>
      <c r="G15" s="94">
        <v>2.04</v>
      </c>
      <c r="H15" s="94">
        <v>2.64</v>
      </c>
      <c r="I15" s="94">
        <v>3.23</v>
      </c>
      <c r="J15" s="94">
        <v>3.73</v>
      </c>
      <c r="K15" s="94">
        <v>4.17</v>
      </c>
      <c r="L15" s="94">
        <v>4.5599999999999996</v>
      </c>
      <c r="M15" s="94">
        <v>5.27</v>
      </c>
      <c r="N15" s="95">
        <v>5.89</v>
      </c>
    </row>
    <row r="16" spans="1:14">
      <c r="A16" s="56"/>
      <c r="B16" s="56"/>
      <c r="C16" s="56"/>
      <c r="D16" s="56"/>
      <c r="E16" s="88" t="s">
        <v>98</v>
      </c>
      <c r="F16" s="89" t="s">
        <v>140</v>
      </c>
      <c r="G16" s="90">
        <v>2.2200000000000002</v>
      </c>
      <c r="H16" s="90">
        <v>2.86</v>
      </c>
      <c r="I16" s="90">
        <v>3.5</v>
      </c>
      <c r="J16" s="90">
        <v>4.05</v>
      </c>
      <c r="K16" s="90">
        <v>4.5199999999999996</v>
      </c>
      <c r="L16" s="90">
        <v>4.96</v>
      </c>
      <c r="M16" s="90">
        <v>5.72</v>
      </c>
      <c r="N16" s="91">
        <v>6.4</v>
      </c>
    </row>
    <row r="17" spans="1:14">
      <c r="A17" s="56"/>
      <c r="B17" s="56"/>
      <c r="C17" s="56"/>
      <c r="D17" s="56"/>
      <c r="E17" s="92" t="s">
        <v>99</v>
      </c>
      <c r="F17" s="93" t="s">
        <v>68</v>
      </c>
      <c r="G17" s="94">
        <v>2.44</v>
      </c>
      <c r="H17" s="94">
        <v>3.16</v>
      </c>
      <c r="I17" s="94">
        <v>3.86</v>
      </c>
      <c r="J17" s="94">
        <v>4.46</v>
      </c>
      <c r="K17" s="94">
        <v>4.99</v>
      </c>
      <c r="L17" s="94">
        <v>5.47</v>
      </c>
      <c r="M17" s="94">
        <v>6.31</v>
      </c>
      <c r="N17" s="95">
        <v>7.06</v>
      </c>
    </row>
    <row r="18" spans="1:14">
      <c r="A18" s="56"/>
      <c r="B18" s="56"/>
      <c r="C18" s="56"/>
      <c r="D18" s="56"/>
      <c r="E18" s="88" t="s">
        <v>100</v>
      </c>
      <c r="F18" s="89" t="s">
        <v>141</v>
      </c>
      <c r="G18" s="90">
        <v>2.64</v>
      </c>
      <c r="H18" s="90">
        <v>3.41</v>
      </c>
      <c r="I18" s="90">
        <v>4.17</v>
      </c>
      <c r="J18" s="90">
        <v>4.82</v>
      </c>
      <c r="K18" s="90">
        <v>5.38</v>
      </c>
      <c r="L18" s="90">
        <v>5.9</v>
      </c>
      <c r="M18" s="90">
        <v>6.81</v>
      </c>
      <c r="N18" s="91">
        <v>7.61</v>
      </c>
    </row>
    <row r="19" spans="1:14">
      <c r="A19" s="56"/>
      <c r="B19" s="56"/>
      <c r="C19" s="56"/>
      <c r="D19" s="56"/>
      <c r="E19" s="92" t="s">
        <v>101</v>
      </c>
      <c r="F19" s="93" t="s">
        <v>142</v>
      </c>
      <c r="G19" s="94">
        <v>2.87</v>
      </c>
      <c r="H19" s="94">
        <v>3.7</v>
      </c>
      <c r="I19" s="94">
        <v>4.53</v>
      </c>
      <c r="J19" s="94">
        <v>5.23</v>
      </c>
      <c r="K19" s="94">
        <v>5.85</v>
      </c>
      <c r="L19" s="94">
        <v>6.41</v>
      </c>
      <c r="M19" s="94">
        <v>7.4</v>
      </c>
      <c r="N19" s="95">
        <v>8.2799999999999994</v>
      </c>
    </row>
    <row r="20" spans="1:14">
      <c r="A20" s="56"/>
      <c r="B20" s="56"/>
      <c r="C20" s="56"/>
      <c r="D20" s="56"/>
      <c r="E20" s="88" t="s">
        <v>102</v>
      </c>
      <c r="F20" s="89" t="s">
        <v>143</v>
      </c>
      <c r="G20" s="90">
        <v>3.07</v>
      </c>
      <c r="H20" s="90">
        <v>3.97</v>
      </c>
      <c r="I20" s="90">
        <v>4.8600000000000003</v>
      </c>
      <c r="J20" s="90">
        <v>5.61</v>
      </c>
      <c r="K20" s="90">
        <v>6.27</v>
      </c>
      <c r="L20" s="90">
        <v>6.87</v>
      </c>
      <c r="M20" s="90">
        <v>7.94</v>
      </c>
      <c r="N20" s="91">
        <v>8.8699999999999992</v>
      </c>
    </row>
    <row r="21" spans="1:14">
      <c r="A21" s="56"/>
      <c r="B21" s="56"/>
      <c r="C21" s="56"/>
      <c r="D21" s="56"/>
      <c r="E21" s="92" t="s">
        <v>103</v>
      </c>
      <c r="F21" s="93" t="s">
        <v>144</v>
      </c>
      <c r="G21" s="94">
        <v>3.35</v>
      </c>
      <c r="H21" s="94">
        <v>4.32</v>
      </c>
      <c r="I21" s="94">
        <v>5.29</v>
      </c>
      <c r="J21" s="94">
        <v>6.11</v>
      </c>
      <c r="K21" s="94">
        <v>6.83</v>
      </c>
      <c r="L21" s="94">
        <v>7.48</v>
      </c>
      <c r="M21" s="94">
        <v>8.64</v>
      </c>
      <c r="N21" s="95">
        <v>9.66</v>
      </c>
    </row>
    <row r="22" spans="1:14">
      <c r="A22" s="56"/>
      <c r="B22" s="56"/>
      <c r="C22" s="56"/>
      <c r="D22" s="56"/>
      <c r="E22" s="88" t="s">
        <v>104</v>
      </c>
      <c r="F22" s="89" t="s">
        <v>145</v>
      </c>
      <c r="G22" s="90">
        <v>3.58</v>
      </c>
      <c r="H22" s="90">
        <v>4.62</v>
      </c>
      <c r="I22" s="90">
        <v>5.66</v>
      </c>
      <c r="J22" s="90">
        <v>6.53</v>
      </c>
      <c r="K22" s="90">
        <v>7.3</v>
      </c>
      <c r="L22" s="90">
        <v>8</v>
      </c>
      <c r="M22" s="90">
        <v>9.24</v>
      </c>
      <c r="N22" s="91">
        <v>10.33</v>
      </c>
    </row>
    <row r="23" spans="1:14">
      <c r="A23" s="56"/>
      <c r="B23" s="56"/>
      <c r="C23" s="56"/>
      <c r="D23" s="56"/>
      <c r="E23" s="92" t="s">
        <v>105</v>
      </c>
      <c r="F23" s="93" t="s">
        <v>146</v>
      </c>
      <c r="G23" s="94">
        <v>3.83</v>
      </c>
      <c r="H23" s="94">
        <v>4.9400000000000004</v>
      </c>
      <c r="I23" s="94">
        <v>6.06</v>
      </c>
      <c r="J23" s="94">
        <v>6.99</v>
      </c>
      <c r="K23" s="94">
        <v>7.82</v>
      </c>
      <c r="L23" s="94">
        <v>8.56</v>
      </c>
      <c r="M23" s="94">
        <v>9.89</v>
      </c>
      <c r="N23" s="95">
        <v>11.06</v>
      </c>
    </row>
    <row r="24" spans="1:14">
      <c r="A24" s="56"/>
      <c r="B24" s="56"/>
      <c r="C24" s="56"/>
      <c r="D24" s="56"/>
      <c r="E24" s="88" t="s">
        <v>106</v>
      </c>
      <c r="F24" s="89" t="s">
        <v>147</v>
      </c>
      <c r="G24" s="90">
        <v>4.0599999999999996</v>
      </c>
      <c r="H24" s="90">
        <v>5.24</v>
      </c>
      <c r="I24" s="90">
        <v>6.41</v>
      </c>
      <c r="J24" s="90">
        <v>7.4</v>
      </c>
      <c r="K24" s="90">
        <v>8.2799999999999994</v>
      </c>
      <c r="L24" s="90">
        <v>9.07</v>
      </c>
      <c r="M24" s="90">
        <v>10.47</v>
      </c>
      <c r="N24" s="91">
        <v>11.71</v>
      </c>
    </row>
    <row r="25" spans="1:14">
      <c r="A25" s="56"/>
      <c r="B25" s="56"/>
      <c r="C25" s="56"/>
      <c r="D25" s="56"/>
      <c r="E25" s="92" t="s">
        <v>107</v>
      </c>
      <c r="F25" s="93" t="s">
        <v>148</v>
      </c>
      <c r="G25" s="94">
        <v>4.3600000000000003</v>
      </c>
      <c r="H25" s="94">
        <v>5.63</v>
      </c>
      <c r="I25" s="94">
        <v>6.89</v>
      </c>
      <c r="J25" s="94">
        <v>7.96</v>
      </c>
      <c r="K25" s="94">
        <v>8.9</v>
      </c>
      <c r="L25" s="94">
        <v>9.75</v>
      </c>
      <c r="M25" s="94">
        <v>11.26</v>
      </c>
      <c r="N25" s="95">
        <v>12.59</v>
      </c>
    </row>
    <row r="26" spans="1:14">
      <c r="A26" s="56"/>
      <c r="B26" s="56"/>
      <c r="C26" s="56"/>
      <c r="D26" s="56"/>
      <c r="E26" s="88" t="s">
        <v>108</v>
      </c>
      <c r="F26" s="89" t="s">
        <v>149</v>
      </c>
      <c r="G26" s="90">
        <v>4.6500000000000004</v>
      </c>
      <c r="H26" s="90">
        <v>6</v>
      </c>
      <c r="I26" s="90">
        <v>7.35</v>
      </c>
      <c r="J26" s="90">
        <v>8.49</v>
      </c>
      <c r="K26" s="90">
        <v>9.49</v>
      </c>
      <c r="L26" s="90">
        <v>10.39</v>
      </c>
      <c r="M26" s="90">
        <v>12</v>
      </c>
      <c r="N26" s="91">
        <v>13.42</v>
      </c>
    </row>
    <row r="27" spans="1:14">
      <c r="A27" s="56"/>
      <c r="B27" s="56"/>
      <c r="C27" s="56"/>
      <c r="D27" s="56"/>
      <c r="E27" s="92" t="s">
        <v>109</v>
      </c>
      <c r="F27" s="93" t="s">
        <v>150</v>
      </c>
      <c r="G27" s="94">
        <v>4.9400000000000004</v>
      </c>
      <c r="H27" s="94">
        <v>6.37</v>
      </c>
      <c r="I27" s="94">
        <v>7.81</v>
      </c>
      <c r="J27" s="94">
        <v>9.01</v>
      </c>
      <c r="K27" s="94">
        <v>10.08</v>
      </c>
      <c r="L27" s="94">
        <v>11.04</v>
      </c>
      <c r="M27" s="94">
        <v>12.75</v>
      </c>
      <c r="N27" s="95">
        <v>14.25</v>
      </c>
    </row>
    <row r="28" spans="1:14">
      <c r="A28" s="56"/>
      <c r="B28" s="56"/>
      <c r="C28" s="56"/>
      <c r="D28" s="56"/>
      <c r="E28" s="88" t="s">
        <v>110</v>
      </c>
      <c r="F28" s="89" t="s">
        <v>151</v>
      </c>
      <c r="G28" s="90">
        <v>5.2</v>
      </c>
      <c r="H28" s="90">
        <v>6.72</v>
      </c>
      <c r="I28" s="90">
        <v>8.23</v>
      </c>
      <c r="J28" s="90">
        <v>9.5</v>
      </c>
      <c r="K28" s="90">
        <v>10.62</v>
      </c>
      <c r="L28" s="90">
        <v>11.64</v>
      </c>
      <c r="M28" s="90">
        <v>13.44</v>
      </c>
      <c r="N28" s="91">
        <v>15.02</v>
      </c>
    </row>
    <row r="29" spans="1:14">
      <c r="A29" s="56"/>
      <c r="B29" s="56"/>
      <c r="C29" s="56"/>
      <c r="D29" s="56"/>
      <c r="E29" s="92" t="s">
        <v>111</v>
      </c>
      <c r="F29" s="93" t="s">
        <v>152</v>
      </c>
      <c r="G29" s="94">
        <v>5.47</v>
      </c>
      <c r="H29" s="94">
        <v>7.06</v>
      </c>
      <c r="I29" s="94">
        <v>8.65</v>
      </c>
      <c r="J29" s="94">
        <v>9.98</v>
      </c>
      <c r="K29" s="94">
        <v>11.16</v>
      </c>
      <c r="L29" s="94">
        <v>12.23</v>
      </c>
      <c r="M29" s="94">
        <v>14.12</v>
      </c>
      <c r="N29" s="95">
        <v>15.79</v>
      </c>
    </row>
    <row r="30" spans="1:14">
      <c r="A30" s="56"/>
      <c r="B30" s="56"/>
      <c r="C30" s="56"/>
      <c r="D30" s="56"/>
      <c r="E30" s="88" t="s">
        <v>112</v>
      </c>
      <c r="F30" s="89" t="s">
        <v>153</v>
      </c>
      <c r="G30" s="90">
        <v>5.84</v>
      </c>
      <c r="H30" s="90">
        <v>7.54</v>
      </c>
      <c r="I30" s="90">
        <v>9.24</v>
      </c>
      <c r="J30" s="90">
        <v>10.67</v>
      </c>
      <c r="K30" s="90">
        <v>11.92</v>
      </c>
      <c r="L30" s="90">
        <v>13.06</v>
      </c>
      <c r="M30" s="90">
        <v>15.08</v>
      </c>
      <c r="N30" s="91">
        <v>16.86</v>
      </c>
    </row>
    <row r="31" spans="1:14">
      <c r="A31" s="56"/>
      <c r="B31" s="56"/>
      <c r="C31" s="56"/>
      <c r="D31" s="56"/>
      <c r="E31" s="92" t="s">
        <v>113</v>
      </c>
      <c r="F31" s="93" t="s">
        <v>154</v>
      </c>
      <c r="G31" s="94">
        <v>6.18</v>
      </c>
      <c r="H31" s="94">
        <v>7.97</v>
      </c>
      <c r="I31" s="94">
        <v>9.77</v>
      </c>
      <c r="J31" s="94">
        <v>11.28</v>
      </c>
      <c r="K31" s="94">
        <v>12.61</v>
      </c>
      <c r="L31" s="94">
        <v>13.81</v>
      </c>
      <c r="M31" s="94">
        <v>15.95</v>
      </c>
      <c r="N31" s="95">
        <v>17.829999999999998</v>
      </c>
    </row>
    <row r="32" spans="1:14">
      <c r="A32" s="56"/>
      <c r="B32" s="56"/>
      <c r="C32" s="56"/>
      <c r="D32" s="56"/>
      <c r="E32" s="88" t="s">
        <v>114</v>
      </c>
      <c r="F32" s="89" t="s">
        <v>155</v>
      </c>
      <c r="G32" s="90">
        <v>6.52</v>
      </c>
      <c r="H32" s="90">
        <v>8.42</v>
      </c>
      <c r="I32" s="90">
        <v>10.31</v>
      </c>
      <c r="J32" s="90">
        <v>11.91</v>
      </c>
      <c r="K32" s="90">
        <v>13.31</v>
      </c>
      <c r="L32" s="90">
        <v>15.58</v>
      </c>
      <c r="M32" s="90">
        <v>16.84</v>
      </c>
      <c r="N32" s="91">
        <v>18.809999999999999</v>
      </c>
    </row>
    <row r="33" spans="1:14">
      <c r="A33" s="56"/>
      <c r="B33" s="56"/>
      <c r="C33" s="56"/>
      <c r="D33" s="56"/>
      <c r="E33" s="92" t="s">
        <v>115</v>
      </c>
      <c r="F33" s="93" t="s">
        <v>156</v>
      </c>
      <c r="G33" s="94">
        <v>6.85</v>
      </c>
      <c r="H33" s="94">
        <v>8.85</v>
      </c>
      <c r="I33" s="94">
        <v>10.84</v>
      </c>
      <c r="J33" s="94">
        <v>12.51</v>
      </c>
      <c r="K33" s="94">
        <v>13.99</v>
      </c>
      <c r="L33" s="94">
        <v>15.33</v>
      </c>
      <c r="M33" s="94">
        <v>17.7</v>
      </c>
      <c r="N33" s="95">
        <v>19.79</v>
      </c>
    </row>
    <row r="34" spans="1:14">
      <c r="A34" s="56"/>
      <c r="B34" s="56"/>
      <c r="C34" s="56"/>
      <c r="D34" s="56"/>
      <c r="E34" s="88" t="s">
        <v>116</v>
      </c>
      <c r="F34" s="89" t="s">
        <v>157</v>
      </c>
      <c r="G34" s="90">
        <v>7.26</v>
      </c>
      <c r="H34" s="90">
        <v>9.3699999999999992</v>
      </c>
      <c r="I34" s="90">
        <v>11.48</v>
      </c>
      <c r="J34" s="90">
        <v>13.26</v>
      </c>
      <c r="K34" s="90">
        <v>14.82</v>
      </c>
      <c r="L34" s="90">
        <v>16.23</v>
      </c>
      <c r="M34" s="90">
        <v>18.75</v>
      </c>
      <c r="N34" s="91">
        <v>20.96</v>
      </c>
    </row>
    <row r="35" spans="1:14">
      <c r="A35" s="56"/>
      <c r="B35" s="56"/>
      <c r="C35" s="56"/>
      <c r="D35" s="56"/>
      <c r="E35" s="92" t="s">
        <v>117</v>
      </c>
      <c r="F35" s="93" t="s">
        <v>158</v>
      </c>
      <c r="G35" s="94">
        <v>7.6</v>
      </c>
      <c r="H35" s="94">
        <v>9.81</v>
      </c>
      <c r="I35" s="94">
        <v>12.01</v>
      </c>
      <c r="J35" s="94">
        <v>13.87</v>
      </c>
      <c r="K35" s="94">
        <v>15.51</v>
      </c>
      <c r="L35" s="94">
        <v>16.989999999999998</v>
      </c>
      <c r="M35" s="94">
        <v>19.61</v>
      </c>
      <c r="N35" s="95">
        <v>21.93</v>
      </c>
    </row>
    <row r="36" spans="1:14">
      <c r="A36" s="56"/>
      <c r="B36" s="56"/>
      <c r="C36" s="56"/>
      <c r="D36" s="56"/>
      <c r="E36" s="88" t="s">
        <v>118</v>
      </c>
      <c r="F36" s="89" t="s">
        <v>159</v>
      </c>
      <c r="G36" s="90">
        <v>7.96</v>
      </c>
      <c r="H36" s="90">
        <v>10.28</v>
      </c>
      <c r="I36" s="90">
        <v>12.59</v>
      </c>
      <c r="J36" s="90">
        <v>14.54</v>
      </c>
      <c r="K36" s="90">
        <v>16.25</v>
      </c>
      <c r="L36" s="90">
        <v>17.8</v>
      </c>
      <c r="M36" s="90">
        <v>20.56</v>
      </c>
      <c r="N36" s="91">
        <v>22.98</v>
      </c>
    </row>
    <row r="37" spans="1:14">
      <c r="A37" s="56"/>
      <c r="B37" s="56"/>
      <c r="C37" s="56"/>
      <c r="D37" s="56"/>
      <c r="E37" s="92" t="s">
        <v>119</v>
      </c>
      <c r="F37" s="93" t="s">
        <v>160</v>
      </c>
      <c r="G37" s="94">
        <v>8.33</v>
      </c>
      <c r="H37" s="94">
        <v>10.75</v>
      </c>
      <c r="I37" s="94">
        <v>13.17</v>
      </c>
      <c r="J37" s="94">
        <v>15.2</v>
      </c>
      <c r="K37" s="94">
        <v>17</v>
      </c>
      <c r="L37" s="94">
        <v>18.62</v>
      </c>
      <c r="M37" s="94">
        <v>21.5</v>
      </c>
      <c r="N37" s="95">
        <v>24.04</v>
      </c>
    </row>
    <row r="38" spans="1:14">
      <c r="A38" s="56"/>
      <c r="B38" s="56"/>
      <c r="C38" s="56"/>
      <c r="D38" s="56"/>
      <c r="E38" s="88" t="s">
        <v>120</v>
      </c>
      <c r="F38" s="89" t="s">
        <v>161</v>
      </c>
      <c r="G38" s="90">
        <v>8.73</v>
      </c>
      <c r="H38" s="90">
        <v>11.27</v>
      </c>
      <c r="I38" s="90">
        <v>13.8</v>
      </c>
      <c r="J38" s="90">
        <v>15.93</v>
      </c>
      <c r="K38" s="90">
        <v>17.809999999999999</v>
      </c>
      <c r="L38" s="90">
        <v>19.510000000000002</v>
      </c>
      <c r="M38" s="90">
        <v>22.53</v>
      </c>
      <c r="N38" s="91">
        <v>25.19</v>
      </c>
    </row>
    <row r="39" spans="1:14">
      <c r="A39" s="56"/>
      <c r="B39" s="56"/>
      <c r="C39" s="56"/>
      <c r="D39" s="56"/>
      <c r="E39" s="92" t="s">
        <v>121</v>
      </c>
      <c r="F39" s="93" t="s">
        <v>162</v>
      </c>
      <c r="G39" s="94">
        <v>9.1199999999999992</v>
      </c>
      <c r="H39" s="94">
        <v>11.77</v>
      </c>
      <c r="I39" s="94">
        <v>14.41</v>
      </c>
      <c r="J39" s="94">
        <v>16.64</v>
      </c>
      <c r="K39" s="94">
        <v>18.61</v>
      </c>
      <c r="L39" s="94">
        <v>20.38</v>
      </c>
      <c r="M39" s="94">
        <v>23.53</v>
      </c>
      <c r="N39" s="95">
        <v>26.31</v>
      </c>
    </row>
    <row r="40" spans="1:14">
      <c r="A40" s="56"/>
      <c r="B40" s="56"/>
      <c r="C40" s="56"/>
      <c r="D40" s="56"/>
      <c r="E40" s="88" t="s">
        <v>122</v>
      </c>
      <c r="F40" s="89" t="s">
        <v>163</v>
      </c>
      <c r="G40" s="90">
        <v>9.58</v>
      </c>
      <c r="H40" s="90">
        <v>12.36</v>
      </c>
      <c r="I40" s="90">
        <v>15.14</v>
      </c>
      <c r="J40" s="90">
        <v>17.489999999999998</v>
      </c>
      <c r="K40" s="90">
        <v>19.55</v>
      </c>
      <c r="L40" s="90">
        <v>21.42</v>
      </c>
      <c r="M40" s="90">
        <v>24.73</v>
      </c>
      <c r="N40" s="91">
        <v>27.65</v>
      </c>
    </row>
    <row r="41" spans="1:14">
      <c r="A41" s="56"/>
      <c r="B41" s="56"/>
      <c r="C41" s="56"/>
      <c r="D41" s="56"/>
      <c r="E41" s="92" t="s">
        <v>123</v>
      </c>
      <c r="F41" s="93" t="s">
        <v>164</v>
      </c>
      <c r="G41" s="94">
        <v>9.9600000000000009</v>
      </c>
      <c r="H41" s="94">
        <v>12.86</v>
      </c>
      <c r="I41" s="94">
        <v>15.75</v>
      </c>
      <c r="J41" s="94">
        <v>18.190000000000001</v>
      </c>
      <c r="K41" s="94">
        <v>20.329999999999998</v>
      </c>
      <c r="L41" s="94">
        <v>22.28</v>
      </c>
      <c r="M41" s="94">
        <v>25.72</v>
      </c>
      <c r="N41" s="95">
        <v>28.76</v>
      </c>
    </row>
    <row r="42" spans="1:14">
      <c r="A42" s="56"/>
      <c r="B42" s="56"/>
      <c r="C42" s="56"/>
      <c r="D42" s="56"/>
      <c r="E42" s="88" t="s">
        <v>124</v>
      </c>
      <c r="F42" s="89" t="s">
        <v>165</v>
      </c>
      <c r="G42" s="90">
        <v>10.31</v>
      </c>
      <c r="H42" s="90">
        <v>13.31</v>
      </c>
      <c r="I42" s="90">
        <v>16.3</v>
      </c>
      <c r="J42" s="90">
        <v>18.82</v>
      </c>
      <c r="K42" s="90">
        <v>21.05</v>
      </c>
      <c r="L42" s="90">
        <v>23.05</v>
      </c>
      <c r="M42" s="90">
        <v>26.62</v>
      </c>
      <c r="N42" s="91">
        <v>29.76</v>
      </c>
    </row>
    <row r="43" spans="1:14">
      <c r="A43" s="56"/>
      <c r="B43" s="56"/>
      <c r="C43" s="56"/>
      <c r="D43" s="56"/>
      <c r="E43" s="96" t="s">
        <v>125</v>
      </c>
      <c r="F43" s="97" t="s">
        <v>166</v>
      </c>
      <c r="G43" s="98">
        <v>10.77</v>
      </c>
      <c r="H43" s="98">
        <v>13.91</v>
      </c>
      <c r="I43" s="98">
        <v>17.03</v>
      </c>
      <c r="J43" s="98">
        <v>19.670000000000002</v>
      </c>
      <c r="K43" s="98">
        <v>21.99</v>
      </c>
      <c r="L43" s="98">
        <v>24.09</v>
      </c>
      <c r="M43" s="98">
        <v>27.82</v>
      </c>
      <c r="N43" s="99">
        <v>31.1</v>
      </c>
    </row>
  </sheetData>
  <sheetProtection password="E0B2" sheet="1" objects="1" scenarios="1" selectLockedCells="1" selectUnlockedCell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E31"/>
  <sheetViews>
    <sheetView workbookViewId="0">
      <selection activeCell="A4" sqref="A4"/>
    </sheetView>
  </sheetViews>
  <sheetFormatPr defaultRowHeight="12.75"/>
  <cols>
    <col min="1" max="1" width="28.5703125" style="55" customWidth="1"/>
    <col min="2" max="2" width="2.140625" style="55" customWidth="1"/>
    <col min="3" max="3" width="28.5703125" style="55" customWidth="1"/>
    <col min="4" max="4" width="2.140625" style="55" customWidth="1"/>
    <col min="5" max="5" width="28.5703125" style="55" customWidth="1"/>
    <col min="6" max="6" width="2.140625" style="55" customWidth="1"/>
    <col min="7" max="16384" width="9.140625" style="55"/>
  </cols>
  <sheetData>
    <row r="1" spans="1:5" ht="13.5" thickBot="1">
      <c r="A1" s="61" t="s">
        <v>186</v>
      </c>
      <c r="B1" s="54"/>
      <c r="C1" s="61" t="s">
        <v>189</v>
      </c>
      <c r="D1" s="54"/>
      <c r="E1" s="61" t="s">
        <v>67</v>
      </c>
    </row>
    <row r="2" spans="1:5" ht="13.5" thickTop="1">
      <c r="A2" s="62" t="s">
        <v>80</v>
      </c>
      <c r="B2" s="56"/>
      <c r="C2" s="63" t="s">
        <v>67</v>
      </c>
      <c r="D2" s="56"/>
      <c r="E2" s="63" t="s">
        <v>144</v>
      </c>
    </row>
    <row r="3" spans="1:5">
      <c r="A3" s="56"/>
      <c r="B3" s="56"/>
      <c r="C3" s="64" t="s">
        <v>81</v>
      </c>
      <c r="D3" s="56"/>
      <c r="E3" s="64" t="s">
        <v>135</v>
      </c>
    </row>
    <row r="4" spans="1:5">
      <c r="A4" s="56"/>
      <c r="B4" s="56"/>
      <c r="C4" s="63" t="s">
        <v>82</v>
      </c>
      <c r="D4" s="56"/>
      <c r="E4" s="63" t="s">
        <v>254</v>
      </c>
    </row>
    <row r="5" spans="1:5">
      <c r="A5" s="56"/>
      <c r="B5" s="56"/>
      <c r="C5" s="64" t="s">
        <v>167</v>
      </c>
      <c r="D5" s="56"/>
      <c r="E5" s="64" t="s">
        <v>68</v>
      </c>
    </row>
    <row r="6" spans="1:5">
      <c r="A6" s="56"/>
      <c r="B6" s="56"/>
      <c r="C6" s="62" t="s">
        <v>168</v>
      </c>
      <c r="D6" s="56"/>
      <c r="E6" s="63" t="s">
        <v>148</v>
      </c>
    </row>
    <row r="7" spans="1:5">
      <c r="A7" s="56"/>
      <c r="B7" s="56"/>
      <c r="C7" s="56"/>
      <c r="D7" s="56"/>
      <c r="E7" s="86" t="s">
        <v>255</v>
      </c>
    </row>
    <row r="8" spans="1:5">
      <c r="A8" s="56"/>
      <c r="B8" s="56"/>
      <c r="C8" s="56"/>
      <c r="D8" s="56"/>
      <c r="E8" s="56"/>
    </row>
    <row r="9" spans="1:5" ht="13.5" thickBot="1">
      <c r="A9" s="56"/>
      <c r="B9" s="56"/>
      <c r="C9" s="56"/>
      <c r="D9" s="56"/>
      <c r="E9" s="61" t="s">
        <v>81</v>
      </c>
    </row>
    <row r="10" spans="1:5" ht="13.5" thickTop="1">
      <c r="A10" s="56"/>
      <c r="B10" s="56"/>
      <c r="C10" s="56"/>
      <c r="D10" s="56"/>
      <c r="E10" s="63" t="s">
        <v>68</v>
      </c>
    </row>
    <row r="11" spans="1:5">
      <c r="A11" s="56"/>
      <c r="B11" s="56"/>
      <c r="C11" s="56"/>
      <c r="D11" s="56"/>
      <c r="E11" s="64" t="s">
        <v>152</v>
      </c>
    </row>
    <row r="12" spans="1:5">
      <c r="A12" s="56"/>
      <c r="B12" s="56"/>
      <c r="C12" s="56"/>
      <c r="D12" s="56"/>
      <c r="E12" s="63" t="s">
        <v>139</v>
      </c>
    </row>
    <row r="13" spans="1:5">
      <c r="A13" s="56"/>
      <c r="B13" s="56"/>
      <c r="C13" s="56"/>
      <c r="D13" s="56"/>
      <c r="E13" s="86" t="s">
        <v>127</v>
      </c>
    </row>
    <row r="14" spans="1:5">
      <c r="A14" s="56"/>
      <c r="B14" s="56"/>
      <c r="C14" s="56"/>
      <c r="D14" s="56"/>
      <c r="E14" s="56"/>
    </row>
    <row r="15" spans="1:5" ht="13.5" thickBot="1">
      <c r="A15" s="56"/>
      <c r="B15" s="56"/>
      <c r="C15" s="56"/>
      <c r="D15" s="56"/>
      <c r="E15" s="61" t="s">
        <v>82</v>
      </c>
    </row>
    <row r="16" spans="1:5" ht="13.5" thickTop="1">
      <c r="A16" s="56"/>
      <c r="B16" s="56"/>
      <c r="C16" s="56"/>
      <c r="D16" s="56"/>
      <c r="E16" s="63" t="s">
        <v>137</v>
      </c>
    </row>
    <row r="17" spans="1:5">
      <c r="A17" s="56"/>
      <c r="B17" s="56"/>
      <c r="C17" s="56"/>
      <c r="D17" s="56"/>
      <c r="E17" s="64" t="s">
        <v>254</v>
      </c>
    </row>
    <row r="18" spans="1:5">
      <c r="A18" s="56"/>
      <c r="B18" s="56"/>
      <c r="C18" s="56"/>
      <c r="D18" s="56"/>
      <c r="E18" s="63" t="s">
        <v>139</v>
      </c>
    </row>
    <row r="19" spans="1:5">
      <c r="A19" s="56"/>
      <c r="B19" s="56"/>
      <c r="C19" s="56"/>
      <c r="D19" s="56"/>
      <c r="E19" s="64" t="s">
        <v>152</v>
      </c>
    </row>
    <row r="20" spans="1:5">
      <c r="A20" s="56"/>
      <c r="B20" s="56"/>
      <c r="C20" s="56"/>
      <c r="D20" s="56"/>
      <c r="E20" s="63" t="s">
        <v>144</v>
      </c>
    </row>
    <row r="21" spans="1:5">
      <c r="A21" s="56"/>
      <c r="B21" s="56"/>
      <c r="C21" s="56"/>
      <c r="D21" s="56"/>
      <c r="E21" s="64" t="s">
        <v>154</v>
      </c>
    </row>
    <row r="22" spans="1:5">
      <c r="A22" s="56"/>
      <c r="B22" s="56"/>
      <c r="C22" s="56"/>
      <c r="D22" s="56"/>
      <c r="E22" s="63" t="s">
        <v>135</v>
      </c>
    </row>
    <row r="23" spans="1:5">
      <c r="A23" s="56"/>
      <c r="B23" s="56"/>
      <c r="C23" s="56"/>
      <c r="D23" s="56"/>
      <c r="E23" s="64" t="s">
        <v>148</v>
      </c>
    </row>
    <row r="24" spans="1:5">
      <c r="A24" s="56"/>
      <c r="B24" s="56"/>
      <c r="C24" s="56"/>
      <c r="D24" s="56"/>
      <c r="E24" s="62" t="s">
        <v>255</v>
      </c>
    </row>
    <row r="25" spans="1:5">
      <c r="A25" s="56"/>
      <c r="B25" s="56"/>
      <c r="C25" s="56"/>
      <c r="D25" s="56"/>
      <c r="E25" s="56"/>
    </row>
    <row r="26" spans="1:5" ht="13.5" thickBot="1">
      <c r="A26" s="56"/>
      <c r="B26" s="56"/>
      <c r="C26" s="56"/>
      <c r="D26" s="56"/>
      <c r="E26" s="61" t="s">
        <v>167</v>
      </c>
    </row>
    <row r="27" spans="1:5" ht="13.5" thickTop="1">
      <c r="A27" s="56"/>
      <c r="B27" s="56"/>
      <c r="C27" s="56"/>
      <c r="D27" s="56"/>
      <c r="E27" s="62" t="s">
        <v>160</v>
      </c>
    </row>
    <row r="28" spans="1:5">
      <c r="A28" s="56"/>
      <c r="B28" s="56"/>
      <c r="C28" s="56"/>
      <c r="D28" s="56"/>
      <c r="E28" s="56"/>
    </row>
    <row r="29" spans="1:5" ht="13.5" thickBot="1">
      <c r="A29" s="56"/>
      <c r="B29" s="56"/>
      <c r="C29" s="56"/>
      <c r="D29" s="56"/>
      <c r="E29" s="61" t="s">
        <v>168</v>
      </c>
    </row>
    <row r="30" spans="1:5" ht="13.5" thickTop="1">
      <c r="A30" s="56"/>
      <c r="B30" s="56"/>
      <c r="C30" s="56"/>
      <c r="D30" s="56"/>
      <c r="E30" s="63" t="s">
        <v>254</v>
      </c>
    </row>
    <row r="31" spans="1:5">
      <c r="A31" s="56"/>
      <c r="B31" s="56"/>
      <c r="C31" s="56"/>
      <c r="D31" s="56"/>
      <c r="E31" s="86" t="s">
        <v>144</v>
      </c>
    </row>
  </sheetData>
  <sheetProtection password="E0B2" sheet="1" objects="1" scenarios="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AA94"/>
  <sheetViews>
    <sheetView workbookViewId="0">
      <selection activeCell="A4" sqref="A4"/>
    </sheetView>
  </sheetViews>
  <sheetFormatPr defaultRowHeight="12.75"/>
  <cols>
    <col min="1" max="1" width="28.5703125" style="58" customWidth="1"/>
    <col min="2" max="2" width="2.140625" style="58" customWidth="1"/>
    <col min="3" max="3" width="28.5703125" style="58" customWidth="1"/>
    <col min="4" max="4" width="2.140625" style="58" customWidth="1"/>
    <col min="5" max="5" width="8.5703125" style="57" customWidth="1"/>
    <col min="6" max="15" width="5.7109375" style="57" customWidth="1"/>
    <col min="16" max="16" width="2.140625" style="57" customWidth="1"/>
    <col min="17" max="17" width="8.5703125" style="58" customWidth="1"/>
    <col min="18" max="27" width="5.7109375" style="58" customWidth="1"/>
    <col min="28" max="16384" width="9.140625" style="58"/>
  </cols>
  <sheetData>
    <row r="1" spans="1:27" ht="13.5" thickBot="1">
      <c r="A1" s="61" t="s">
        <v>190</v>
      </c>
      <c r="B1" s="54"/>
      <c r="C1" s="61" t="s">
        <v>191</v>
      </c>
      <c r="D1" s="56"/>
      <c r="E1" s="65" t="s">
        <v>61</v>
      </c>
      <c r="F1" s="65" t="s">
        <v>192</v>
      </c>
      <c r="G1" s="65" t="s">
        <v>185</v>
      </c>
      <c r="H1" s="65" t="s">
        <v>193</v>
      </c>
      <c r="I1" s="65" t="s">
        <v>180</v>
      </c>
      <c r="J1" s="65" t="s">
        <v>194</v>
      </c>
      <c r="K1" s="65" t="s">
        <v>181</v>
      </c>
      <c r="L1" s="65" t="s">
        <v>195</v>
      </c>
      <c r="M1" s="65" t="s">
        <v>182</v>
      </c>
      <c r="N1" s="66" t="s">
        <v>196</v>
      </c>
      <c r="O1" s="60"/>
      <c r="P1" s="60"/>
      <c r="Q1" s="65" t="s">
        <v>61</v>
      </c>
      <c r="R1" s="65" t="s">
        <v>192</v>
      </c>
      <c r="S1" s="65" t="s">
        <v>185</v>
      </c>
      <c r="T1" s="65" t="s">
        <v>193</v>
      </c>
      <c r="U1" s="65" t="s">
        <v>180</v>
      </c>
      <c r="V1" s="65" t="s">
        <v>194</v>
      </c>
      <c r="W1" s="65" t="s">
        <v>181</v>
      </c>
      <c r="X1" s="65" t="s">
        <v>195</v>
      </c>
      <c r="Y1" s="65" t="s">
        <v>182</v>
      </c>
      <c r="Z1" s="66" t="s">
        <v>196</v>
      </c>
    </row>
    <row r="2" spans="1:27" ht="13.5" thickTop="1">
      <c r="A2" s="62" t="s">
        <v>80</v>
      </c>
      <c r="B2" s="56"/>
      <c r="C2" s="63" t="s">
        <v>240</v>
      </c>
      <c r="D2" s="56"/>
      <c r="E2" s="67">
        <v>25</v>
      </c>
      <c r="F2" s="68"/>
      <c r="G2" s="68"/>
      <c r="H2" s="68"/>
      <c r="I2" s="69">
        <v>42</v>
      </c>
      <c r="J2" s="69">
        <v>50</v>
      </c>
      <c r="K2" s="69">
        <v>59</v>
      </c>
      <c r="L2" s="69">
        <v>69</v>
      </c>
      <c r="M2" s="69">
        <v>80</v>
      </c>
      <c r="N2" s="70">
        <v>91</v>
      </c>
      <c r="O2" s="59"/>
      <c r="P2" s="59"/>
      <c r="Q2" s="67">
        <v>25</v>
      </c>
      <c r="R2" s="68"/>
      <c r="S2" s="68"/>
      <c r="T2" s="68"/>
      <c r="U2" s="69">
        <v>146</v>
      </c>
      <c r="V2" s="69">
        <v>155</v>
      </c>
      <c r="W2" s="69">
        <v>161</v>
      </c>
      <c r="X2" s="69">
        <v>167</v>
      </c>
      <c r="Y2" s="69">
        <v>174</v>
      </c>
      <c r="Z2" s="70">
        <v>182</v>
      </c>
      <c r="AA2" s="59"/>
    </row>
    <row r="3" spans="1:27">
      <c r="A3" s="56"/>
      <c r="B3" s="56"/>
      <c r="C3" s="64" t="s">
        <v>241</v>
      </c>
      <c r="D3" s="56"/>
      <c r="E3" s="71">
        <v>30</v>
      </c>
      <c r="F3" s="72"/>
      <c r="G3" s="72"/>
      <c r="H3" s="73">
        <v>37</v>
      </c>
      <c r="I3" s="73">
        <v>45</v>
      </c>
      <c r="J3" s="73">
        <v>55</v>
      </c>
      <c r="K3" s="73">
        <v>64</v>
      </c>
      <c r="L3" s="73">
        <v>75</v>
      </c>
      <c r="M3" s="74">
        <v>87</v>
      </c>
      <c r="N3" s="75">
        <v>99</v>
      </c>
      <c r="O3" s="59"/>
      <c r="P3" s="59"/>
      <c r="Q3" s="71">
        <v>30</v>
      </c>
      <c r="R3" s="72"/>
      <c r="S3" s="72"/>
      <c r="T3" s="73">
        <v>158</v>
      </c>
      <c r="U3" s="73">
        <v>158</v>
      </c>
      <c r="V3" s="73">
        <v>165</v>
      </c>
      <c r="W3" s="73">
        <v>172</v>
      </c>
      <c r="X3" s="73">
        <v>182</v>
      </c>
      <c r="Y3" s="74">
        <v>187</v>
      </c>
      <c r="Z3" s="75">
        <v>192</v>
      </c>
      <c r="AA3" s="59"/>
    </row>
    <row r="4" spans="1:27">
      <c r="A4" s="56"/>
      <c r="B4" s="56"/>
      <c r="C4" s="63" t="s">
        <v>242</v>
      </c>
      <c r="D4" s="56"/>
      <c r="E4" s="67">
        <v>35</v>
      </c>
      <c r="F4" s="68"/>
      <c r="G4" s="69">
        <v>32</v>
      </c>
      <c r="H4" s="69">
        <v>40</v>
      </c>
      <c r="I4" s="69">
        <v>49</v>
      </c>
      <c r="J4" s="69">
        <v>59</v>
      </c>
      <c r="K4" s="69">
        <v>69</v>
      </c>
      <c r="L4" s="76">
        <v>81</v>
      </c>
      <c r="M4" s="69">
        <v>93</v>
      </c>
      <c r="N4" s="77">
        <v>106</v>
      </c>
      <c r="O4" s="59"/>
      <c r="P4" s="59"/>
      <c r="Q4" s="67">
        <v>35</v>
      </c>
      <c r="R4" s="68"/>
      <c r="S4" s="69">
        <v>154</v>
      </c>
      <c r="T4" s="69">
        <v>164</v>
      </c>
      <c r="U4" s="69">
        <v>172</v>
      </c>
      <c r="V4" s="69">
        <v>178</v>
      </c>
      <c r="W4" s="69">
        <v>191</v>
      </c>
      <c r="X4" s="76">
        <v>196</v>
      </c>
      <c r="Y4" s="69">
        <v>202</v>
      </c>
      <c r="Z4" s="77">
        <v>208</v>
      </c>
      <c r="AA4" s="59"/>
    </row>
    <row r="5" spans="1:27">
      <c r="A5" s="56"/>
      <c r="B5" s="56"/>
      <c r="C5" s="64" t="s">
        <v>243</v>
      </c>
      <c r="D5" s="56"/>
      <c r="E5" s="71">
        <v>40</v>
      </c>
      <c r="F5" s="73">
        <v>27</v>
      </c>
      <c r="G5" s="73">
        <v>35</v>
      </c>
      <c r="H5" s="73">
        <v>43</v>
      </c>
      <c r="I5" s="73">
        <v>52</v>
      </c>
      <c r="J5" s="73">
        <v>63</v>
      </c>
      <c r="K5" s="74">
        <v>74</v>
      </c>
      <c r="L5" s="73">
        <v>87</v>
      </c>
      <c r="M5" s="73">
        <v>98</v>
      </c>
      <c r="N5" s="75">
        <v>112</v>
      </c>
      <c r="O5" s="59"/>
      <c r="P5" s="59"/>
      <c r="Q5" s="71">
        <v>40</v>
      </c>
      <c r="R5" s="73">
        <v>149</v>
      </c>
      <c r="S5" s="73">
        <v>160</v>
      </c>
      <c r="T5" s="73">
        <v>171</v>
      </c>
      <c r="U5" s="73">
        <v>180</v>
      </c>
      <c r="V5" s="73">
        <v>190</v>
      </c>
      <c r="W5" s="74">
        <v>198</v>
      </c>
      <c r="X5" s="73">
        <v>204</v>
      </c>
      <c r="Y5" s="73">
        <v>213</v>
      </c>
      <c r="Z5" s="75">
        <v>221</v>
      </c>
      <c r="AA5" s="59"/>
    </row>
    <row r="6" spans="1:27">
      <c r="A6" s="56"/>
      <c r="B6" s="56"/>
      <c r="C6" s="63" t="s">
        <v>244</v>
      </c>
      <c r="D6" s="56"/>
      <c r="E6" s="67">
        <v>45</v>
      </c>
      <c r="F6" s="69">
        <v>29</v>
      </c>
      <c r="G6" s="69">
        <v>37</v>
      </c>
      <c r="H6" s="69">
        <v>46</v>
      </c>
      <c r="I6" s="69">
        <v>56</v>
      </c>
      <c r="J6" s="69">
        <v>67</v>
      </c>
      <c r="K6" s="76">
        <v>79</v>
      </c>
      <c r="L6" s="69">
        <v>91</v>
      </c>
      <c r="M6" s="69">
        <v>104</v>
      </c>
      <c r="N6" s="77">
        <v>118</v>
      </c>
      <c r="O6" s="59"/>
      <c r="P6" s="59"/>
      <c r="Q6" s="67">
        <v>45</v>
      </c>
      <c r="R6" s="69">
        <v>155</v>
      </c>
      <c r="S6" s="69">
        <v>167</v>
      </c>
      <c r="T6" s="69">
        <v>180</v>
      </c>
      <c r="U6" s="69">
        <v>189</v>
      </c>
      <c r="V6" s="69">
        <v>198</v>
      </c>
      <c r="W6" s="76">
        <v>206</v>
      </c>
      <c r="X6" s="69">
        <v>214</v>
      </c>
      <c r="Y6" s="69">
        <v>223</v>
      </c>
      <c r="Z6" s="77">
        <v>230</v>
      </c>
      <c r="AA6" s="59"/>
    </row>
    <row r="7" spans="1:27">
      <c r="A7" s="56"/>
      <c r="B7" s="56"/>
      <c r="C7" s="64" t="s">
        <v>245</v>
      </c>
      <c r="D7" s="56"/>
      <c r="E7" s="71">
        <v>50</v>
      </c>
      <c r="F7" s="73">
        <v>30</v>
      </c>
      <c r="G7" s="73">
        <v>39</v>
      </c>
      <c r="H7" s="73">
        <v>48</v>
      </c>
      <c r="I7" s="73">
        <v>59</v>
      </c>
      <c r="J7" s="73">
        <v>70</v>
      </c>
      <c r="K7" s="74">
        <v>83</v>
      </c>
      <c r="L7" s="73">
        <v>95</v>
      </c>
      <c r="M7" s="73">
        <v>109</v>
      </c>
      <c r="N7" s="75">
        <v>123</v>
      </c>
      <c r="O7" s="59"/>
      <c r="P7" s="59"/>
      <c r="Q7" s="71">
        <v>50</v>
      </c>
      <c r="R7" s="73">
        <v>161</v>
      </c>
      <c r="S7" s="73">
        <v>174</v>
      </c>
      <c r="T7" s="73">
        <v>186</v>
      </c>
      <c r="U7" s="73">
        <v>195</v>
      </c>
      <c r="V7" s="73">
        <v>203</v>
      </c>
      <c r="W7" s="74">
        <v>212</v>
      </c>
      <c r="X7" s="73">
        <v>220</v>
      </c>
      <c r="Y7" s="73">
        <v>230</v>
      </c>
      <c r="Z7" s="75">
        <v>237</v>
      </c>
      <c r="AA7" s="59"/>
    </row>
    <row r="8" spans="1:27">
      <c r="A8" s="56"/>
      <c r="B8" s="56"/>
      <c r="C8" s="63" t="s">
        <v>246</v>
      </c>
      <c r="D8" s="56"/>
      <c r="E8" s="67">
        <v>55</v>
      </c>
      <c r="F8" s="69">
        <v>32</v>
      </c>
      <c r="G8" s="69">
        <v>41</v>
      </c>
      <c r="H8" s="69">
        <v>50</v>
      </c>
      <c r="I8" s="69">
        <v>62</v>
      </c>
      <c r="J8" s="69">
        <v>74</v>
      </c>
      <c r="K8" s="76">
        <v>87</v>
      </c>
      <c r="L8" s="69">
        <v>100</v>
      </c>
      <c r="M8" s="69">
        <v>115</v>
      </c>
      <c r="N8" s="77">
        <v>130</v>
      </c>
      <c r="O8" s="59"/>
      <c r="P8" s="59"/>
      <c r="Q8" s="67">
        <v>55</v>
      </c>
      <c r="R8" s="69">
        <v>165</v>
      </c>
      <c r="S8" s="69">
        <v>179</v>
      </c>
      <c r="T8" s="69">
        <v>193</v>
      </c>
      <c r="U8" s="69">
        <v>203</v>
      </c>
      <c r="V8" s="69">
        <v>213</v>
      </c>
      <c r="W8" s="76">
        <v>221</v>
      </c>
      <c r="X8" s="69">
        <v>230</v>
      </c>
      <c r="Y8" s="69">
        <v>239</v>
      </c>
      <c r="Z8" s="77">
        <v>247</v>
      </c>
      <c r="AA8" s="59"/>
    </row>
    <row r="9" spans="1:27">
      <c r="A9" s="56"/>
      <c r="B9" s="56"/>
      <c r="C9" s="64" t="s">
        <v>247</v>
      </c>
      <c r="D9" s="56"/>
      <c r="E9" s="73">
        <v>60</v>
      </c>
      <c r="F9" s="73">
        <v>33</v>
      </c>
      <c r="G9" s="73">
        <v>42</v>
      </c>
      <c r="H9" s="73">
        <v>53</v>
      </c>
      <c r="I9" s="73">
        <v>64</v>
      </c>
      <c r="J9" s="73">
        <v>77</v>
      </c>
      <c r="K9" s="74">
        <v>91</v>
      </c>
      <c r="L9" s="73">
        <v>104</v>
      </c>
      <c r="M9" s="73">
        <v>120</v>
      </c>
      <c r="N9" s="75">
        <v>136</v>
      </c>
      <c r="O9" s="59"/>
      <c r="P9" s="59"/>
      <c r="Q9" s="73">
        <v>60</v>
      </c>
      <c r="R9" s="73">
        <v>169</v>
      </c>
      <c r="S9" s="73">
        <v>184</v>
      </c>
      <c r="T9" s="73">
        <v>198</v>
      </c>
      <c r="U9" s="73">
        <v>208</v>
      </c>
      <c r="V9" s="73">
        <v>220</v>
      </c>
      <c r="W9" s="74">
        <v>228</v>
      </c>
      <c r="X9" s="73">
        <v>237</v>
      </c>
      <c r="Y9" s="73">
        <v>245</v>
      </c>
      <c r="Z9" s="75">
        <v>254</v>
      </c>
      <c r="AA9" s="59"/>
    </row>
    <row r="10" spans="1:27">
      <c r="A10" s="56"/>
      <c r="B10" s="56"/>
      <c r="C10" s="62" t="s">
        <v>248</v>
      </c>
      <c r="D10" s="56"/>
      <c r="E10" s="69">
        <v>65</v>
      </c>
      <c r="F10" s="69">
        <v>35</v>
      </c>
      <c r="G10" s="69">
        <v>44</v>
      </c>
      <c r="H10" s="69">
        <v>55</v>
      </c>
      <c r="I10" s="69">
        <v>67</v>
      </c>
      <c r="J10" s="69">
        <v>80</v>
      </c>
      <c r="K10" s="76">
        <v>95</v>
      </c>
      <c r="L10" s="69">
        <v>109</v>
      </c>
      <c r="M10" s="69">
        <v>125</v>
      </c>
      <c r="N10" s="77">
        <v>142</v>
      </c>
      <c r="O10" s="59"/>
      <c r="P10" s="59"/>
      <c r="Q10" s="69">
        <v>65</v>
      </c>
      <c r="R10" s="69">
        <v>172</v>
      </c>
      <c r="S10" s="69">
        <v>189</v>
      </c>
      <c r="T10" s="69">
        <v>205</v>
      </c>
      <c r="U10" s="69">
        <v>216</v>
      </c>
      <c r="V10" s="69">
        <v>227</v>
      </c>
      <c r="W10" s="76">
        <v>237</v>
      </c>
      <c r="X10" s="69">
        <v>247</v>
      </c>
      <c r="Y10" s="69">
        <v>254</v>
      </c>
      <c r="Z10" s="77">
        <v>263</v>
      </c>
      <c r="AA10" s="59"/>
    </row>
    <row r="11" spans="1:27">
      <c r="A11" s="56"/>
      <c r="B11" s="56"/>
      <c r="C11" s="56"/>
      <c r="D11" s="56"/>
      <c r="E11" s="73">
        <v>70</v>
      </c>
      <c r="F11" s="73">
        <v>36</v>
      </c>
      <c r="G11" s="73">
        <v>45</v>
      </c>
      <c r="H11" s="73">
        <v>57</v>
      </c>
      <c r="I11" s="73">
        <v>69</v>
      </c>
      <c r="J11" s="73">
        <v>83</v>
      </c>
      <c r="K11" s="74">
        <v>98</v>
      </c>
      <c r="L11" s="73">
        <v>113</v>
      </c>
      <c r="M11" s="73">
        <v>129</v>
      </c>
      <c r="N11" s="75">
        <v>147</v>
      </c>
      <c r="O11" s="59"/>
      <c r="P11" s="59"/>
      <c r="Q11" s="73">
        <v>70</v>
      </c>
      <c r="R11" s="73">
        <v>175</v>
      </c>
      <c r="S11" s="73">
        <v>194</v>
      </c>
      <c r="T11" s="73">
        <v>210</v>
      </c>
      <c r="U11" s="73">
        <v>221</v>
      </c>
      <c r="V11" s="73">
        <v>232</v>
      </c>
      <c r="W11" s="74">
        <v>243</v>
      </c>
      <c r="X11" s="73">
        <v>254</v>
      </c>
      <c r="Y11" s="73">
        <v>260</v>
      </c>
      <c r="Z11" s="75">
        <v>270</v>
      </c>
      <c r="AA11" s="59"/>
    </row>
    <row r="12" spans="1:27">
      <c r="A12" s="56"/>
      <c r="B12" s="56"/>
      <c r="C12" s="56"/>
      <c r="D12" s="56"/>
      <c r="E12" s="69">
        <v>75</v>
      </c>
      <c r="F12" s="69">
        <v>37</v>
      </c>
      <c r="G12" s="69">
        <v>47</v>
      </c>
      <c r="H12" s="69">
        <v>59</v>
      </c>
      <c r="I12" s="69">
        <v>72</v>
      </c>
      <c r="J12" s="69">
        <v>86</v>
      </c>
      <c r="K12" s="76">
        <v>101</v>
      </c>
      <c r="L12" s="69">
        <v>117</v>
      </c>
      <c r="M12" s="69">
        <v>134</v>
      </c>
      <c r="N12" s="77">
        <v>153</v>
      </c>
      <c r="O12" s="59"/>
      <c r="P12" s="59"/>
      <c r="Q12" s="69">
        <v>75</v>
      </c>
      <c r="R12" s="69">
        <v>179</v>
      </c>
      <c r="S12" s="69">
        <v>201</v>
      </c>
      <c r="T12" s="69">
        <v>217</v>
      </c>
      <c r="U12" s="69">
        <v>228</v>
      </c>
      <c r="V12" s="69">
        <v>239</v>
      </c>
      <c r="W12" s="76">
        <v>250</v>
      </c>
      <c r="X12" s="69">
        <v>261</v>
      </c>
      <c r="Y12" s="69">
        <v>268</v>
      </c>
      <c r="Z12" s="77">
        <v>277</v>
      </c>
      <c r="AA12" s="59"/>
    </row>
    <row r="13" spans="1:27">
      <c r="A13" s="56"/>
      <c r="B13" s="56"/>
      <c r="C13" s="56"/>
      <c r="D13" s="56"/>
      <c r="E13" s="78">
        <v>80</v>
      </c>
      <c r="F13" s="78">
        <v>39</v>
      </c>
      <c r="G13" s="78">
        <v>49</v>
      </c>
      <c r="H13" s="78">
        <v>61</v>
      </c>
      <c r="I13" s="78">
        <v>74</v>
      </c>
      <c r="J13" s="78">
        <v>89</v>
      </c>
      <c r="K13" s="79">
        <v>105</v>
      </c>
      <c r="L13" s="78">
        <v>121</v>
      </c>
      <c r="M13" s="78">
        <v>138</v>
      </c>
      <c r="N13" s="80">
        <v>158</v>
      </c>
      <c r="O13" s="59"/>
      <c r="P13" s="59"/>
      <c r="Q13" s="78">
        <v>80</v>
      </c>
      <c r="R13" s="78">
        <v>182</v>
      </c>
      <c r="S13" s="78">
        <v>207</v>
      </c>
      <c r="T13" s="78">
        <v>222</v>
      </c>
      <c r="U13" s="78">
        <v>234</v>
      </c>
      <c r="V13" s="78">
        <v>244</v>
      </c>
      <c r="W13" s="79">
        <v>256</v>
      </c>
      <c r="X13" s="78">
        <v>266</v>
      </c>
      <c r="Y13" s="78">
        <v>274</v>
      </c>
      <c r="Z13" s="80">
        <v>283</v>
      </c>
      <c r="AA13" s="59"/>
    </row>
    <row r="14" spans="1:27">
      <c r="A14" s="56"/>
      <c r="B14" s="56"/>
      <c r="C14" s="56"/>
      <c r="D14" s="56"/>
      <c r="E14" s="59"/>
      <c r="F14" s="59"/>
      <c r="G14" s="59"/>
      <c r="H14" s="59"/>
      <c r="I14" s="59"/>
      <c r="J14" s="59"/>
      <c r="L14" s="59"/>
      <c r="M14" s="59"/>
      <c r="N14" s="59"/>
      <c r="O14" s="59"/>
      <c r="P14" s="59"/>
      <c r="Q14" s="59"/>
      <c r="R14" s="59"/>
      <c r="S14" s="59"/>
      <c r="T14" s="59"/>
      <c r="U14" s="59"/>
      <c r="V14" s="59"/>
      <c r="W14" s="57"/>
      <c r="X14" s="59"/>
      <c r="Y14" s="59"/>
      <c r="Z14" s="59"/>
      <c r="AA14" s="59"/>
    </row>
    <row r="15" spans="1:27" ht="13.5" thickBot="1">
      <c r="A15" s="56"/>
      <c r="B15" s="56"/>
      <c r="C15" s="56"/>
      <c r="D15" s="56"/>
      <c r="E15" s="65" t="s">
        <v>61</v>
      </c>
      <c r="F15" s="65" t="s">
        <v>193</v>
      </c>
      <c r="G15" s="65" t="s">
        <v>180</v>
      </c>
      <c r="H15" s="65" t="s">
        <v>194</v>
      </c>
      <c r="I15" s="65" t="s">
        <v>181</v>
      </c>
      <c r="J15" s="65" t="s">
        <v>195</v>
      </c>
      <c r="K15" s="65" t="s">
        <v>182</v>
      </c>
      <c r="L15" s="65" t="s">
        <v>196</v>
      </c>
      <c r="M15" s="81" t="s">
        <v>183</v>
      </c>
      <c r="N15" s="65" t="s">
        <v>197</v>
      </c>
      <c r="O15" s="66" t="s">
        <v>198</v>
      </c>
      <c r="P15" s="60"/>
      <c r="Q15" s="65" t="s">
        <v>61</v>
      </c>
      <c r="R15" s="65" t="s">
        <v>193</v>
      </c>
      <c r="S15" s="65" t="s">
        <v>180</v>
      </c>
      <c r="T15" s="65" t="s">
        <v>194</v>
      </c>
      <c r="U15" s="65" t="s">
        <v>181</v>
      </c>
      <c r="V15" s="65" t="s">
        <v>195</v>
      </c>
      <c r="W15" s="65" t="s">
        <v>182</v>
      </c>
      <c r="X15" s="65" t="s">
        <v>196</v>
      </c>
      <c r="Y15" s="81" t="s">
        <v>183</v>
      </c>
      <c r="Z15" s="65" t="s">
        <v>197</v>
      </c>
      <c r="AA15" s="66" t="s">
        <v>198</v>
      </c>
    </row>
    <row r="16" spans="1:27" ht="13.5" thickTop="1">
      <c r="A16" s="56"/>
      <c r="B16" s="56"/>
      <c r="C16" s="56"/>
      <c r="D16" s="56"/>
      <c r="E16" s="69">
        <v>40</v>
      </c>
      <c r="F16" s="69">
        <v>47</v>
      </c>
      <c r="G16" s="69">
        <v>57</v>
      </c>
      <c r="H16" s="69">
        <v>66</v>
      </c>
      <c r="I16" s="69">
        <v>78</v>
      </c>
      <c r="J16" s="69">
        <v>91</v>
      </c>
      <c r="K16" s="76">
        <v>103</v>
      </c>
      <c r="L16" s="69">
        <v>118</v>
      </c>
      <c r="M16" s="69">
        <v>134</v>
      </c>
      <c r="N16" s="69">
        <v>152</v>
      </c>
      <c r="O16" s="77"/>
      <c r="P16" s="59"/>
      <c r="Q16" s="69">
        <v>40</v>
      </c>
      <c r="R16" s="69">
        <v>191</v>
      </c>
      <c r="S16" s="69">
        <v>202</v>
      </c>
      <c r="T16" s="69">
        <v>213</v>
      </c>
      <c r="U16" s="69">
        <v>222</v>
      </c>
      <c r="V16" s="69">
        <v>230</v>
      </c>
      <c r="W16" s="76">
        <v>240</v>
      </c>
      <c r="X16" s="69">
        <v>250</v>
      </c>
      <c r="Y16" s="69">
        <v>256</v>
      </c>
      <c r="Z16" s="69">
        <v>262</v>
      </c>
      <c r="AA16" s="77"/>
    </row>
    <row r="17" spans="1:27">
      <c r="A17" s="56"/>
      <c r="B17" s="56"/>
      <c r="C17" s="56"/>
      <c r="D17" s="56"/>
      <c r="E17" s="73">
        <v>50</v>
      </c>
      <c r="F17" s="73">
        <v>50</v>
      </c>
      <c r="G17" s="73">
        <v>64</v>
      </c>
      <c r="H17" s="73">
        <v>74</v>
      </c>
      <c r="I17" s="73">
        <v>87</v>
      </c>
      <c r="J17" s="73">
        <v>100</v>
      </c>
      <c r="K17" s="74">
        <v>115</v>
      </c>
      <c r="L17" s="73">
        <v>130</v>
      </c>
      <c r="M17" s="73">
        <v>150</v>
      </c>
      <c r="N17" s="73">
        <v>165</v>
      </c>
      <c r="O17" s="75">
        <v>204</v>
      </c>
      <c r="P17" s="59"/>
      <c r="Q17" s="73">
        <v>50</v>
      </c>
      <c r="R17" s="73">
        <v>205</v>
      </c>
      <c r="S17" s="73">
        <v>215</v>
      </c>
      <c r="T17" s="73">
        <v>225</v>
      </c>
      <c r="U17" s="73">
        <v>235</v>
      </c>
      <c r="V17" s="73">
        <v>245</v>
      </c>
      <c r="W17" s="74">
        <v>256</v>
      </c>
      <c r="X17" s="73">
        <v>265</v>
      </c>
      <c r="Y17" s="73">
        <v>273</v>
      </c>
      <c r="Z17" s="73">
        <v>280</v>
      </c>
      <c r="AA17" s="75">
        <v>300</v>
      </c>
    </row>
    <row r="18" spans="1:27">
      <c r="A18" s="56"/>
      <c r="B18" s="56"/>
      <c r="C18" s="56"/>
      <c r="D18" s="56"/>
      <c r="E18" s="69">
        <v>60</v>
      </c>
      <c r="F18" s="69">
        <v>55</v>
      </c>
      <c r="G18" s="69">
        <v>69</v>
      </c>
      <c r="H18" s="69">
        <v>81</v>
      </c>
      <c r="I18" s="69">
        <v>96</v>
      </c>
      <c r="J18" s="69">
        <v>110</v>
      </c>
      <c r="K18" s="76">
        <v>126</v>
      </c>
      <c r="L18" s="69">
        <v>143</v>
      </c>
      <c r="M18" s="69">
        <v>164</v>
      </c>
      <c r="N18" s="69">
        <v>182</v>
      </c>
      <c r="O18" s="77">
        <v>224</v>
      </c>
      <c r="P18" s="59"/>
      <c r="Q18" s="69">
        <v>60</v>
      </c>
      <c r="R18" s="69">
        <v>215</v>
      </c>
      <c r="S18" s="69">
        <v>227</v>
      </c>
      <c r="T18" s="69">
        <v>240</v>
      </c>
      <c r="U18" s="69">
        <v>250</v>
      </c>
      <c r="V18" s="69">
        <v>260</v>
      </c>
      <c r="W18" s="76">
        <v>270</v>
      </c>
      <c r="X18" s="69">
        <v>280</v>
      </c>
      <c r="Y18" s="69">
        <v>288</v>
      </c>
      <c r="Z18" s="69">
        <v>295</v>
      </c>
      <c r="AA18" s="77">
        <v>316</v>
      </c>
    </row>
    <row r="19" spans="1:27">
      <c r="A19" s="56"/>
      <c r="B19" s="56"/>
      <c r="C19" s="56"/>
      <c r="D19" s="56"/>
      <c r="E19" s="74">
        <v>70</v>
      </c>
      <c r="F19" s="74">
        <v>60</v>
      </c>
      <c r="G19" s="74">
        <v>75</v>
      </c>
      <c r="H19" s="74">
        <v>88</v>
      </c>
      <c r="I19" s="74">
        <v>103</v>
      </c>
      <c r="J19" s="74">
        <v>120</v>
      </c>
      <c r="K19" s="74">
        <v>136</v>
      </c>
      <c r="L19" s="74">
        <v>155</v>
      </c>
      <c r="M19" s="74">
        <v>177</v>
      </c>
      <c r="N19" s="74">
        <v>197</v>
      </c>
      <c r="O19" s="82">
        <v>243</v>
      </c>
      <c r="Q19" s="74">
        <v>70</v>
      </c>
      <c r="R19" s="74">
        <v>225</v>
      </c>
      <c r="S19" s="74">
        <v>238</v>
      </c>
      <c r="T19" s="74">
        <v>250</v>
      </c>
      <c r="U19" s="74">
        <v>263</v>
      </c>
      <c r="V19" s="74">
        <v>275</v>
      </c>
      <c r="W19" s="74">
        <v>283</v>
      </c>
      <c r="X19" s="74">
        <v>295</v>
      </c>
      <c r="Y19" s="74">
        <v>302</v>
      </c>
      <c r="Z19" s="74">
        <v>310</v>
      </c>
      <c r="AA19" s="82">
        <v>338</v>
      </c>
    </row>
    <row r="20" spans="1:27">
      <c r="A20" s="56"/>
      <c r="B20" s="56"/>
      <c r="C20" s="56"/>
      <c r="D20" s="56"/>
      <c r="E20" s="76">
        <v>80</v>
      </c>
      <c r="F20" s="76">
        <v>64</v>
      </c>
      <c r="G20" s="76">
        <v>79</v>
      </c>
      <c r="H20" s="76">
        <v>94</v>
      </c>
      <c r="I20" s="76">
        <v>110</v>
      </c>
      <c r="J20" s="76">
        <v>128</v>
      </c>
      <c r="K20" s="76">
        <v>146</v>
      </c>
      <c r="L20" s="76">
        <v>165</v>
      </c>
      <c r="M20" s="76">
        <v>189</v>
      </c>
      <c r="N20" s="76">
        <v>210</v>
      </c>
      <c r="O20" s="70">
        <v>258</v>
      </c>
      <c r="Q20" s="76">
        <v>80</v>
      </c>
      <c r="R20" s="76">
        <v>235</v>
      </c>
      <c r="S20" s="76">
        <v>248</v>
      </c>
      <c r="T20" s="76">
        <v>260</v>
      </c>
      <c r="U20" s="76">
        <v>273</v>
      </c>
      <c r="V20" s="76">
        <v>285</v>
      </c>
      <c r="W20" s="76">
        <v>295</v>
      </c>
      <c r="X20" s="76">
        <v>305</v>
      </c>
      <c r="Y20" s="76">
        <v>314</v>
      </c>
      <c r="Z20" s="76">
        <v>325</v>
      </c>
      <c r="AA20" s="70">
        <v>354</v>
      </c>
    </row>
    <row r="21" spans="1:27">
      <c r="A21" s="56"/>
      <c r="B21" s="56"/>
      <c r="C21" s="56"/>
      <c r="D21" s="56"/>
      <c r="E21" s="74">
        <v>90</v>
      </c>
      <c r="F21" s="74">
        <v>68</v>
      </c>
      <c r="G21" s="74">
        <v>83</v>
      </c>
      <c r="H21" s="74">
        <v>100</v>
      </c>
      <c r="I21" s="74">
        <v>117</v>
      </c>
      <c r="J21" s="74">
        <v>135</v>
      </c>
      <c r="K21" s="74">
        <v>155</v>
      </c>
      <c r="L21" s="74">
        <v>175</v>
      </c>
      <c r="M21" s="74">
        <v>201</v>
      </c>
      <c r="N21" s="74">
        <v>223</v>
      </c>
      <c r="O21" s="82">
        <v>274</v>
      </c>
      <c r="Q21" s="74">
        <v>90</v>
      </c>
      <c r="R21" s="74">
        <v>245</v>
      </c>
      <c r="S21" s="74">
        <v>258</v>
      </c>
      <c r="T21" s="74">
        <v>270</v>
      </c>
      <c r="U21" s="74">
        <v>283</v>
      </c>
      <c r="V21" s="74">
        <v>295</v>
      </c>
      <c r="W21" s="74">
        <v>306</v>
      </c>
      <c r="X21" s="74">
        <v>315</v>
      </c>
      <c r="Y21" s="74">
        <v>326</v>
      </c>
      <c r="Z21" s="74">
        <v>335</v>
      </c>
      <c r="AA21" s="82">
        <v>362</v>
      </c>
    </row>
    <row r="22" spans="1:27">
      <c r="A22" s="56"/>
      <c r="B22" s="56"/>
      <c r="C22" s="56"/>
      <c r="D22" s="56"/>
      <c r="E22" s="76">
        <v>100</v>
      </c>
      <c r="F22" s="76">
        <v>72</v>
      </c>
      <c r="G22" s="76">
        <v>87</v>
      </c>
      <c r="H22" s="76">
        <v>106</v>
      </c>
      <c r="I22" s="76">
        <v>123</v>
      </c>
      <c r="J22" s="76">
        <v>143</v>
      </c>
      <c r="K22" s="76">
        <v>163</v>
      </c>
      <c r="L22" s="76">
        <v>185</v>
      </c>
      <c r="M22" s="76">
        <v>212</v>
      </c>
      <c r="N22" s="76">
        <v>235</v>
      </c>
      <c r="O22" s="70">
        <v>289</v>
      </c>
      <c r="Q22" s="76">
        <v>100</v>
      </c>
      <c r="R22" s="76">
        <v>255</v>
      </c>
      <c r="S22" s="76">
        <v>268</v>
      </c>
      <c r="T22" s="76">
        <v>280</v>
      </c>
      <c r="U22" s="76">
        <v>293</v>
      </c>
      <c r="V22" s="76">
        <v>305</v>
      </c>
      <c r="W22" s="76">
        <v>316</v>
      </c>
      <c r="X22" s="76">
        <v>325</v>
      </c>
      <c r="Y22" s="76">
        <v>336</v>
      </c>
      <c r="Z22" s="76">
        <v>345</v>
      </c>
      <c r="AA22" s="70">
        <v>372</v>
      </c>
    </row>
    <row r="23" spans="1:27">
      <c r="A23" s="56"/>
      <c r="B23" s="56"/>
      <c r="C23" s="56"/>
      <c r="D23" s="56"/>
      <c r="E23" s="79">
        <v>110</v>
      </c>
      <c r="F23" s="79">
        <v>76</v>
      </c>
      <c r="G23" s="79">
        <v>92</v>
      </c>
      <c r="H23" s="79">
        <v>111</v>
      </c>
      <c r="I23" s="79">
        <v>129</v>
      </c>
      <c r="J23" s="79">
        <v>150</v>
      </c>
      <c r="K23" s="79">
        <v>171</v>
      </c>
      <c r="L23" s="79">
        <v>195</v>
      </c>
      <c r="M23" s="79">
        <v>222</v>
      </c>
      <c r="N23" s="79">
        <v>247</v>
      </c>
      <c r="O23" s="83">
        <v>304</v>
      </c>
      <c r="Q23" s="79">
        <v>110</v>
      </c>
      <c r="R23" s="79">
        <v>265</v>
      </c>
      <c r="S23" s="79">
        <v>278</v>
      </c>
      <c r="T23" s="79">
        <v>290</v>
      </c>
      <c r="U23" s="79">
        <v>303</v>
      </c>
      <c r="V23" s="79">
        <v>315</v>
      </c>
      <c r="W23" s="79">
        <v>324</v>
      </c>
      <c r="X23" s="79">
        <v>335</v>
      </c>
      <c r="Y23" s="79">
        <v>344</v>
      </c>
      <c r="Z23" s="79">
        <v>355</v>
      </c>
      <c r="AA23" s="83">
        <v>380</v>
      </c>
    </row>
    <row r="24" spans="1:27">
      <c r="A24" s="56"/>
      <c r="B24" s="56"/>
      <c r="C24" s="56"/>
      <c r="D24" s="56"/>
      <c r="Q24" s="57"/>
      <c r="R24" s="57"/>
      <c r="S24" s="57"/>
      <c r="T24" s="57"/>
      <c r="U24" s="57"/>
      <c r="V24" s="57"/>
      <c r="W24" s="57"/>
      <c r="X24" s="57"/>
      <c r="Y24" s="57"/>
      <c r="Z24" s="57"/>
      <c r="AA24" s="57"/>
    </row>
    <row r="25" spans="1:27" ht="13.5" thickBot="1">
      <c r="C25" s="56"/>
      <c r="E25" s="65" t="s">
        <v>61</v>
      </c>
      <c r="F25" s="65" t="s">
        <v>199</v>
      </c>
      <c r="G25" s="65" t="s">
        <v>200</v>
      </c>
      <c r="H25" s="65" t="s">
        <v>201</v>
      </c>
      <c r="I25" s="65" t="s">
        <v>202</v>
      </c>
      <c r="J25" s="65" t="s">
        <v>196</v>
      </c>
      <c r="K25" s="65" t="s">
        <v>203</v>
      </c>
      <c r="L25" s="65" t="s">
        <v>204</v>
      </c>
      <c r="M25" s="65" t="s">
        <v>205</v>
      </c>
      <c r="N25" s="66" t="s">
        <v>206</v>
      </c>
      <c r="O25" s="60"/>
      <c r="P25" s="60"/>
      <c r="Q25" s="65" t="s">
        <v>61</v>
      </c>
      <c r="R25" s="65" t="s">
        <v>199</v>
      </c>
      <c r="S25" s="65" t="s">
        <v>200</v>
      </c>
      <c r="T25" s="65" t="s">
        <v>201</v>
      </c>
      <c r="U25" s="65" t="s">
        <v>202</v>
      </c>
      <c r="V25" s="65" t="s">
        <v>196</v>
      </c>
      <c r="W25" s="65" t="s">
        <v>203</v>
      </c>
      <c r="X25" s="65" t="s">
        <v>204</v>
      </c>
      <c r="Y25" s="65" t="s">
        <v>205</v>
      </c>
      <c r="Z25" s="66" t="s">
        <v>206</v>
      </c>
      <c r="AA25" s="57"/>
    </row>
    <row r="26" spans="1:27" ht="13.5" thickTop="1">
      <c r="E26" s="76">
        <v>40</v>
      </c>
      <c r="F26" s="76">
        <v>67</v>
      </c>
      <c r="G26" s="76">
        <v>76</v>
      </c>
      <c r="H26" s="76">
        <v>86</v>
      </c>
      <c r="I26" s="76">
        <v>98</v>
      </c>
      <c r="J26" s="76">
        <v>110</v>
      </c>
      <c r="K26" s="76">
        <v>125</v>
      </c>
      <c r="L26" s="76">
        <v>136</v>
      </c>
      <c r="M26" s="76">
        <v>151</v>
      </c>
      <c r="N26" s="70">
        <v>166</v>
      </c>
      <c r="Q26" s="76">
        <v>40</v>
      </c>
      <c r="R26" s="76">
        <v>212</v>
      </c>
      <c r="S26" s="76">
        <v>219</v>
      </c>
      <c r="T26" s="76">
        <v>225</v>
      </c>
      <c r="U26" s="76">
        <v>233</v>
      </c>
      <c r="V26" s="76">
        <v>242</v>
      </c>
      <c r="W26" s="76">
        <v>250</v>
      </c>
      <c r="X26" s="76">
        <v>254</v>
      </c>
      <c r="Y26" s="76">
        <v>259</v>
      </c>
      <c r="Z26" s="70">
        <v>275</v>
      </c>
      <c r="AA26" s="57"/>
    </row>
    <row r="27" spans="1:27">
      <c r="E27" s="74">
        <v>50</v>
      </c>
      <c r="F27" s="74">
        <v>75</v>
      </c>
      <c r="G27" s="74">
        <v>85</v>
      </c>
      <c r="H27" s="74">
        <v>97</v>
      </c>
      <c r="I27" s="74">
        <v>110</v>
      </c>
      <c r="J27" s="74">
        <v>123</v>
      </c>
      <c r="K27" s="74">
        <v>139</v>
      </c>
      <c r="L27" s="74">
        <v>152</v>
      </c>
      <c r="M27" s="74">
        <v>169</v>
      </c>
      <c r="N27" s="82">
        <v>185</v>
      </c>
      <c r="Q27" s="74">
        <v>50</v>
      </c>
      <c r="R27" s="74">
        <v>224</v>
      </c>
      <c r="S27" s="74">
        <v>231</v>
      </c>
      <c r="T27" s="74">
        <v>240</v>
      </c>
      <c r="U27" s="74">
        <v>250</v>
      </c>
      <c r="V27" s="74">
        <v>258</v>
      </c>
      <c r="W27" s="74">
        <v>266</v>
      </c>
      <c r="X27" s="74">
        <v>271</v>
      </c>
      <c r="Y27" s="74">
        <v>279</v>
      </c>
      <c r="Z27" s="82">
        <v>288</v>
      </c>
      <c r="AA27" s="57"/>
    </row>
    <row r="28" spans="1:27">
      <c r="E28" s="76">
        <v>60</v>
      </c>
      <c r="F28" s="76">
        <v>83</v>
      </c>
      <c r="G28" s="76">
        <v>94</v>
      </c>
      <c r="H28" s="76">
        <v>106</v>
      </c>
      <c r="I28" s="76">
        <v>120</v>
      </c>
      <c r="J28" s="76">
        <v>135</v>
      </c>
      <c r="K28" s="76">
        <v>153</v>
      </c>
      <c r="L28" s="76">
        <v>167</v>
      </c>
      <c r="M28" s="76">
        <v>186</v>
      </c>
      <c r="N28" s="70">
        <v>203</v>
      </c>
      <c r="Q28" s="76">
        <v>60</v>
      </c>
      <c r="R28" s="76">
        <v>239</v>
      </c>
      <c r="S28" s="76">
        <v>246</v>
      </c>
      <c r="T28" s="76">
        <v>254</v>
      </c>
      <c r="U28" s="76">
        <v>264</v>
      </c>
      <c r="V28" s="76">
        <v>273</v>
      </c>
      <c r="W28" s="76">
        <v>281</v>
      </c>
      <c r="X28" s="76">
        <v>286</v>
      </c>
      <c r="Y28" s="76">
        <v>294</v>
      </c>
      <c r="Z28" s="70">
        <v>303</v>
      </c>
      <c r="AA28" s="57"/>
    </row>
    <row r="29" spans="1:27">
      <c r="E29" s="74">
        <v>70</v>
      </c>
      <c r="F29" s="74">
        <v>89</v>
      </c>
      <c r="G29" s="74">
        <v>101</v>
      </c>
      <c r="H29" s="74">
        <v>114</v>
      </c>
      <c r="I29" s="74">
        <v>130</v>
      </c>
      <c r="J29" s="74">
        <v>146</v>
      </c>
      <c r="K29" s="74">
        <v>165</v>
      </c>
      <c r="L29" s="74">
        <v>180</v>
      </c>
      <c r="M29" s="74">
        <v>200</v>
      </c>
      <c r="N29" s="82">
        <v>219</v>
      </c>
      <c r="Q29" s="74">
        <v>70</v>
      </c>
      <c r="R29" s="74">
        <v>249</v>
      </c>
      <c r="S29" s="74">
        <v>259</v>
      </c>
      <c r="T29" s="74">
        <v>268</v>
      </c>
      <c r="U29" s="74">
        <v>277</v>
      </c>
      <c r="V29" s="74">
        <v>286</v>
      </c>
      <c r="W29" s="74">
        <v>295</v>
      </c>
      <c r="X29" s="74">
        <v>300</v>
      </c>
      <c r="Y29" s="74">
        <v>309</v>
      </c>
      <c r="Z29" s="82">
        <v>320</v>
      </c>
      <c r="AA29" s="57"/>
    </row>
    <row r="30" spans="1:27">
      <c r="E30" s="76">
        <v>80</v>
      </c>
      <c r="F30" s="76">
        <v>95</v>
      </c>
      <c r="G30" s="76">
        <v>108</v>
      </c>
      <c r="H30" s="76">
        <v>122</v>
      </c>
      <c r="I30" s="76">
        <v>139</v>
      </c>
      <c r="J30" s="76">
        <v>156</v>
      </c>
      <c r="K30" s="76">
        <v>176</v>
      </c>
      <c r="L30" s="76">
        <v>193</v>
      </c>
      <c r="M30" s="76">
        <v>214</v>
      </c>
      <c r="N30" s="70">
        <v>235</v>
      </c>
      <c r="Q30" s="76">
        <v>80</v>
      </c>
      <c r="R30" s="76">
        <v>259</v>
      </c>
      <c r="S30" s="76">
        <v>269</v>
      </c>
      <c r="T30" s="76">
        <v>278</v>
      </c>
      <c r="U30" s="76">
        <v>288</v>
      </c>
      <c r="V30" s="76">
        <v>297</v>
      </c>
      <c r="W30" s="76">
        <v>306</v>
      </c>
      <c r="X30" s="76">
        <v>313</v>
      </c>
      <c r="Y30" s="76">
        <v>324</v>
      </c>
      <c r="Z30" s="70">
        <v>336</v>
      </c>
      <c r="AA30" s="57"/>
    </row>
    <row r="31" spans="1:27">
      <c r="E31" s="74">
        <v>90</v>
      </c>
      <c r="F31" s="74">
        <v>101</v>
      </c>
      <c r="G31" s="74">
        <v>115</v>
      </c>
      <c r="H31" s="74">
        <v>130</v>
      </c>
      <c r="I31" s="74">
        <v>147</v>
      </c>
      <c r="J31" s="74">
        <v>166</v>
      </c>
      <c r="K31" s="74">
        <v>187</v>
      </c>
      <c r="L31" s="74">
        <v>204</v>
      </c>
      <c r="M31" s="74">
        <v>227</v>
      </c>
      <c r="N31" s="82">
        <v>249</v>
      </c>
      <c r="Q31" s="74">
        <v>90</v>
      </c>
      <c r="R31" s="74">
        <v>268</v>
      </c>
      <c r="S31" s="74">
        <v>278</v>
      </c>
      <c r="T31" s="74">
        <v>289</v>
      </c>
      <c r="U31" s="74">
        <v>299</v>
      </c>
      <c r="V31" s="74">
        <v>308</v>
      </c>
      <c r="W31" s="74">
        <v>317</v>
      </c>
      <c r="X31" s="74">
        <v>324</v>
      </c>
      <c r="Y31" s="74">
        <v>334</v>
      </c>
      <c r="Z31" s="82">
        <v>345</v>
      </c>
      <c r="AA31" s="57"/>
    </row>
    <row r="32" spans="1:27">
      <c r="E32" s="76">
        <v>100</v>
      </c>
      <c r="F32" s="76">
        <v>107</v>
      </c>
      <c r="G32" s="76">
        <v>121</v>
      </c>
      <c r="H32" s="76">
        <v>137</v>
      </c>
      <c r="I32" s="76">
        <v>155</v>
      </c>
      <c r="J32" s="76">
        <v>175</v>
      </c>
      <c r="K32" s="76">
        <v>197</v>
      </c>
      <c r="L32" s="76">
        <v>216</v>
      </c>
      <c r="M32" s="76">
        <v>240</v>
      </c>
      <c r="N32" s="70">
        <v>262</v>
      </c>
      <c r="Q32" s="76">
        <v>100</v>
      </c>
      <c r="R32" s="76">
        <v>278</v>
      </c>
      <c r="S32" s="76">
        <v>288</v>
      </c>
      <c r="T32" s="76">
        <v>298</v>
      </c>
      <c r="U32" s="76">
        <v>308</v>
      </c>
      <c r="V32" s="76">
        <v>318</v>
      </c>
      <c r="W32" s="76">
        <v>327</v>
      </c>
      <c r="X32" s="76">
        <v>334</v>
      </c>
      <c r="Y32" s="76">
        <v>344</v>
      </c>
      <c r="Z32" s="70">
        <v>355</v>
      </c>
      <c r="AA32" s="57"/>
    </row>
    <row r="33" spans="5:27">
      <c r="E33" s="79">
        <v>110</v>
      </c>
      <c r="F33" s="79">
        <v>112</v>
      </c>
      <c r="G33" s="79">
        <v>127</v>
      </c>
      <c r="H33" s="79">
        <v>143</v>
      </c>
      <c r="I33" s="79">
        <v>163</v>
      </c>
      <c r="J33" s="79">
        <v>183</v>
      </c>
      <c r="K33" s="79">
        <v>207</v>
      </c>
      <c r="L33" s="79">
        <v>226</v>
      </c>
      <c r="M33" s="79">
        <v>251</v>
      </c>
      <c r="N33" s="83">
        <v>275</v>
      </c>
      <c r="Q33" s="79">
        <v>110</v>
      </c>
      <c r="R33" s="79">
        <v>288</v>
      </c>
      <c r="S33" s="79">
        <v>298</v>
      </c>
      <c r="T33" s="79">
        <v>308</v>
      </c>
      <c r="U33" s="79">
        <v>317</v>
      </c>
      <c r="V33" s="79">
        <v>326</v>
      </c>
      <c r="W33" s="79">
        <v>336</v>
      </c>
      <c r="X33" s="79">
        <v>342</v>
      </c>
      <c r="Y33" s="79">
        <v>353</v>
      </c>
      <c r="Z33" s="83">
        <v>364</v>
      </c>
      <c r="AA33" s="57"/>
    </row>
    <row r="34" spans="5:27">
      <c r="Q34" s="57"/>
      <c r="R34" s="57"/>
      <c r="S34" s="57"/>
      <c r="T34" s="57"/>
      <c r="U34" s="57"/>
      <c r="V34" s="57"/>
      <c r="W34" s="57"/>
      <c r="X34" s="57"/>
      <c r="Y34" s="57"/>
      <c r="Z34" s="57"/>
      <c r="AA34" s="57"/>
    </row>
    <row r="35" spans="5:27" ht="13.5" thickBot="1">
      <c r="E35" s="65" t="s">
        <v>61</v>
      </c>
      <c r="F35" s="65" t="s">
        <v>207</v>
      </c>
      <c r="G35" s="65" t="s">
        <v>208</v>
      </c>
      <c r="H35" s="65" t="s">
        <v>209</v>
      </c>
      <c r="I35" s="65" t="s">
        <v>210</v>
      </c>
      <c r="J35" s="65" t="s">
        <v>211</v>
      </c>
      <c r="K35" s="65" t="s">
        <v>212</v>
      </c>
      <c r="L35" s="66" t="s">
        <v>206</v>
      </c>
      <c r="M35" s="60"/>
      <c r="N35" s="60"/>
      <c r="O35" s="60"/>
      <c r="P35" s="60"/>
      <c r="Q35" s="65" t="s">
        <v>61</v>
      </c>
      <c r="R35" s="65" t="s">
        <v>207</v>
      </c>
      <c r="S35" s="65" t="s">
        <v>208</v>
      </c>
      <c r="T35" s="65" t="s">
        <v>209</v>
      </c>
      <c r="U35" s="65" t="s">
        <v>210</v>
      </c>
      <c r="V35" s="65" t="s">
        <v>211</v>
      </c>
      <c r="W35" s="65" t="s">
        <v>212</v>
      </c>
      <c r="X35" s="66" t="s">
        <v>206</v>
      </c>
      <c r="Y35" s="57"/>
      <c r="Z35" s="57"/>
      <c r="AA35" s="57"/>
    </row>
    <row r="36" spans="5:27" ht="13.5" thickTop="1">
      <c r="E36" s="76">
        <v>40</v>
      </c>
      <c r="F36" s="76">
        <v>66</v>
      </c>
      <c r="G36" s="76">
        <v>78</v>
      </c>
      <c r="H36" s="76">
        <v>91</v>
      </c>
      <c r="I36" s="76">
        <v>103</v>
      </c>
      <c r="J36" s="76">
        <v>118</v>
      </c>
      <c r="K36" s="76">
        <v>134</v>
      </c>
      <c r="L36" s="70">
        <v>152</v>
      </c>
      <c r="Q36" s="76">
        <v>40</v>
      </c>
      <c r="R36" s="76">
        <v>208</v>
      </c>
      <c r="S36" s="76">
        <v>212</v>
      </c>
      <c r="T36" s="76">
        <v>215</v>
      </c>
      <c r="U36" s="76">
        <v>224</v>
      </c>
      <c r="V36" s="76">
        <v>235</v>
      </c>
      <c r="W36" s="76">
        <v>238</v>
      </c>
      <c r="X36" s="70">
        <v>242</v>
      </c>
      <c r="Y36" s="57"/>
      <c r="Z36" s="57"/>
      <c r="AA36" s="57"/>
    </row>
    <row r="37" spans="5:27">
      <c r="E37" s="74">
        <v>50</v>
      </c>
      <c r="F37" s="74">
        <v>74</v>
      </c>
      <c r="G37" s="74">
        <v>88</v>
      </c>
      <c r="H37" s="74">
        <v>100</v>
      </c>
      <c r="I37" s="74">
        <v>115</v>
      </c>
      <c r="J37" s="74">
        <v>129</v>
      </c>
      <c r="K37" s="74">
        <v>150</v>
      </c>
      <c r="L37" s="82">
        <v>167</v>
      </c>
      <c r="Q37" s="74">
        <v>50</v>
      </c>
      <c r="R37" s="74">
        <v>220</v>
      </c>
      <c r="S37" s="74">
        <v>225</v>
      </c>
      <c r="T37" s="74">
        <v>230</v>
      </c>
      <c r="U37" s="74">
        <v>240</v>
      </c>
      <c r="V37" s="74">
        <v>250</v>
      </c>
      <c r="W37" s="74">
        <v>255</v>
      </c>
      <c r="X37" s="82">
        <v>260</v>
      </c>
      <c r="Y37" s="57"/>
      <c r="Z37" s="57"/>
      <c r="AA37" s="57"/>
    </row>
    <row r="38" spans="5:27">
      <c r="E38" s="76">
        <v>60</v>
      </c>
      <c r="F38" s="76">
        <v>81</v>
      </c>
      <c r="G38" s="76">
        <v>96</v>
      </c>
      <c r="H38" s="76">
        <v>110</v>
      </c>
      <c r="I38" s="76">
        <v>125</v>
      </c>
      <c r="J38" s="76">
        <v>141</v>
      </c>
      <c r="K38" s="76">
        <v>164</v>
      </c>
      <c r="L38" s="70">
        <v>183</v>
      </c>
      <c r="Q38" s="76">
        <v>60</v>
      </c>
      <c r="R38" s="76">
        <v>235</v>
      </c>
      <c r="S38" s="76">
        <v>240</v>
      </c>
      <c r="T38" s="76">
        <v>245</v>
      </c>
      <c r="U38" s="76">
        <v>260</v>
      </c>
      <c r="V38" s="76">
        <v>270</v>
      </c>
      <c r="W38" s="76">
        <v>275</v>
      </c>
      <c r="X38" s="70">
        <v>280</v>
      </c>
      <c r="Y38" s="57"/>
      <c r="Z38" s="57"/>
      <c r="AA38" s="57"/>
    </row>
    <row r="39" spans="5:27">
      <c r="E39" s="74">
        <v>70</v>
      </c>
      <c r="F39" s="74">
        <v>88</v>
      </c>
      <c r="G39" s="74">
        <v>104</v>
      </c>
      <c r="H39" s="74">
        <v>118</v>
      </c>
      <c r="I39" s="74">
        <v>135</v>
      </c>
      <c r="J39" s="74">
        <v>152</v>
      </c>
      <c r="K39" s="74">
        <v>177</v>
      </c>
      <c r="L39" s="82">
        <v>198</v>
      </c>
      <c r="Q39" s="74">
        <v>70</v>
      </c>
      <c r="R39" s="74">
        <v>245</v>
      </c>
      <c r="S39" s="74">
        <v>250</v>
      </c>
      <c r="T39" s="74">
        <v>260</v>
      </c>
      <c r="U39" s="74">
        <v>275</v>
      </c>
      <c r="V39" s="74">
        <v>290</v>
      </c>
      <c r="W39" s="74">
        <v>295</v>
      </c>
      <c r="X39" s="82">
        <v>300</v>
      </c>
      <c r="Y39" s="57"/>
      <c r="Z39" s="57"/>
      <c r="AA39" s="57"/>
    </row>
    <row r="40" spans="5:27">
      <c r="E40" s="76">
        <v>80</v>
      </c>
      <c r="F40" s="76">
        <v>94</v>
      </c>
      <c r="G40" s="76">
        <v>111</v>
      </c>
      <c r="H40" s="76">
        <v>127</v>
      </c>
      <c r="I40" s="76">
        <v>145</v>
      </c>
      <c r="J40" s="76">
        <v>163</v>
      </c>
      <c r="K40" s="76">
        <v>189</v>
      </c>
      <c r="L40" s="70">
        <v>211</v>
      </c>
      <c r="Q40" s="76">
        <v>80</v>
      </c>
      <c r="R40" s="76">
        <v>255</v>
      </c>
      <c r="S40" s="76">
        <v>265</v>
      </c>
      <c r="T40" s="76">
        <v>275</v>
      </c>
      <c r="U40" s="76">
        <v>285</v>
      </c>
      <c r="V40" s="76">
        <v>300</v>
      </c>
      <c r="W40" s="76">
        <v>305</v>
      </c>
      <c r="X40" s="70">
        <v>315</v>
      </c>
      <c r="Y40" s="57"/>
      <c r="Z40" s="57"/>
      <c r="AA40" s="57"/>
    </row>
    <row r="41" spans="5:27">
      <c r="E41" s="74">
        <v>90</v>
      </c>
      <c r="F41" s="74">
        <v>99</v>
      </c>
      <c r="G41" s="74">
        <v>117</v>
      </c>
      <c r="H41" s="74">
        <v>134</v>
      </c>
      <c r="I41" s="74">
        <v>154</v>
      </c>
      <c r="J41" s="74">
        <v>173</v>
      </c>
      <c r="K41" s="74">
        <v>201</v>
      </c>
      <c r="L41" s="82">
        <v>224</v>
      </c>
      <c r="Q41" s="74">
        <v>90</v>
      </c>
      <c r="R41" s="74">
        <v>265</v>
      </c>
      <c r="S41" s="74">
        <v>275</v>
      </c>
      <c r="T41" s="74">
        <v>285</v>
      </c>
      <c r="U41" s="74">
        <v>295</v>
      </c>
      <c r="V41" s="74">
        <v>310</v>
      </c>
      <c r="W41" s="74">
        <v>315</v>
      </c>
      <c r="X41" s="82">
        <v>325</v>
      </c>
      <c r="Y41" s="57"/>
      <c r="Z41" s="57"/>
      <c r="AA41" s="57"/>
    </row>
    <row r="42" spans="5:27">
      <c r="E42" s="76">
        <v>100</v>
      </c>
      <c r="F42" s="76">
        <v>105</v>
      </c>
      <c r="G42" s="76">
        <v>124</v>
      </c>
      <c r="H42" s="76">
        <v>142</v>
      </c>
      <c r="I42" s="76">
        <v>162</v>
      </c>
      <c r="J42" s="76">
        <v>182</v>
      </c>
      <c r="K42" s="76">
        <v>212</v>
      </c>
      <c r="L42" s="70">
        <v>236</v>
      </c>
      <c r="Q42" s="76">
        <v>100</v>
      </c>
      <c r="R42" s="76">
        <v>270</v>
      </c>
      <c r="S42" s="76">
        <v>280</v>
      </c>
      <c r="T42" s="76">
        <v>295</v>
      </c>
      <c r="U42" s="76">
        <v>305</v>
      </c>
      <c r="V42" s="76">
        <v>320</v>
      </c>
      <c r="W42" s="76">
        <v>325</v>
      </c>
      <c r="X42" s="70">
        <v>335</v>
      </c>
      <c r="Y42" s="57"/>
      <c r="Z42" s="57"/>
      <c r="AA42" s="57"/>
    </row>
    <row r="43" spans="5:27">
      <c r="E43" s="79">
        <v>110</v>
      </c>
      <c r="F43" s="79">
        <v>110</v>
      </c>
      <c r="G43" s="79">
        <v>130</v>
      </c>
      <c r="H43" s="79">
        <v>149</v>
      </c>
      <c r="I43" s="79">
        <v>170</v>
      </c>
      <c r="J43" s="79">
        <v>191</v>
      </c>
      <c r="K43" s="79">
        <v>222</v>
      </c>
      <c r="L43" s="83">
        <v>248</v>
      </c>
      <c r="Q43" s="79">
        <v>110</v>
      </c>
      <c r="R43" s="79">
        <v>275</v>
      </c>
      <c r="S43" s="79">
        <v>290</v>
      </c>
      <c r="T43" s="79">
        <v>305</v>
      </c>
      <c r="U43" s="79">
        <v>315</v>
      </c>
      <c r="V43" s="79">
        <v>325</v>
      </c>
      <c r="W43" s="79">
        <v>335</v>
      </c>
      <c r="X43" s="83">
        <v>345</v>
      </c>
      <c r="Y43" s="57"/>
      <c r="Z43" s="57"/>
      <c r="AA43" s="57"/>
    </row>
    <row r="44" spans="5:27">
      <c r="Q44" s="57"/>
      <c r="R44" s="57"/>
      <c r="S44" s="57"/>
      <c r="T44" s="57"/>
      <c r="U44" s="57"/>
      <c r="V44" s="57"/>
      <c r="W44" s="57"/>
      <c r="X44" s="57"/>
      <c r="Y44" s="57"/>
      <c r="Z44" s="57"/>
      <c r="AA44" s="57"/>
    </row>
    <row r="45" spans="5:27" ht="13.5" thickBot="1">
      <c r="E45" s="65" t="s">
        <v>61</v>
      </c>
      <c r="F45" s="65" t="s">
        <v>195</v>
      </c>
      <c r="G45" s="65" t="s">
        <v>196</v>
      </c>
      <c r="H45" s="65" t="s">
        <v>197</v>
      </c>
      <c r="I45" s="65" t="s">
        <v>198</v>
      </c>
      <c r="J45" s="65" t="s">
        <v>213</v>
      </c>
      <c r="K45" s="65" t="s">
        <v>214</v>
      </c>
      <c r="L45" s="65" t="s">
        <v>215</v>
      </c>
      <c r="M45" s="66" t="s">
        <v>216</v>
      </c>
      <c r="N45" s="60"/>
      <c r="O45" s="60"/>
      <c r="P45" s="60"/>
      <c r="Q45" s="65" t="s">
        <v>61</v>
      </c>
      <c r="R45" s="65" t="s">
        <v>195</v>
      </c>
      <c r="S45" s="65" t="s">
        <v>196</v>
      </c>
      <c r="T45" s="65" t="s">
        <v>197</v>
      </c>
      <c r="U45" s="65" t="s">
        <v>198</v>
      </c>
      <c r="V45" s="65" t="s">
        <v>213</v>
      </c>
      <c r="W45" s="65" t="s">
        <v>214</v>
      </c>
      <c r="X45" s="65" t="s">
        <v>215</v>
      </c>
      <c r="Y45" s="66" t="s">
        <v>216</v>
      </c>
      <c r="Z45" s="57"/>
      <c r="AA45" s="57"/>
    </row>
    <row r="46" spans="5:27" ht="13.5" thickTop="1">
      <c r="E46" s="76">
        <v>50</v>
      </c>
      <c r="F46" s="76">
        <v>100</v>
      </c>
      <c r="G46" s="76">
        <v>130</v>
      </c>
      <c r="H46" s="76">
        <v>165</v>
      </c>
      <c r="I46" s="76">
        <v>205</v>
      </c>
      <c r="J46" s="76">
        <v>255</v>
      </c>
      <c r="K46" s="76">
        <v>300</v>
      </c>
      <c r="L46" s="76">
        <v>350</v>
      </c>
      <c r="M46" s="70">
        <v>408</v>
      </c>
      <c r="Q46" s="76">
        <v>50</v>
      </c>
      <c r="R46" s="76">
        <v>250</v>
      </c>
      <c r="S46" s="76">
        <v>270</v>
      </c>
      <c r="T46" s="76">
        <v>290</v>
      </c>
      <c r="U46" s="76">
        <v>310</v>
      </c>
      <c r="V46" s="76">
        <v>330</v>
      </c>
      <c r="W46" s="76">
        <v>345</v>
      </c>
      <c r="X46" s="76">
        <v>360</v>
      </c>
      <c r="Y46" s="70">
        <v>373</v>
      </c>
      <c r="Z46" s="57"/>
      <c r="AA46" s="57"/>
    </row>
    <row r="47" spans="5:27">
      <c r="E47" s="74">
        <v>60</v>
      </c>
      <c r="F47" s="74">
        <v>110</v>
      </c>
      <c r="G47" s="74">
        <v>143</v>
      </c>
      <c r="H47" s="74">
        <v>182</v>
      </c>
      <c r="I47" s="74">
        <v>225</v>
      </c>
      <c r="J47" s="74">
        <v>275</v>
      </c>
      <c r="K47" s="74">
        <v>330</v>
      </c>
      <c r="L47" s="74">
        <v>385</v>
      </c>
      <c r="M47" s="82">
        <v>446</v>
      </c>
      <c r="Q47" s="74">
        <v>60</v>
      </c>
      <c r="R47" s="74">
        <v>265</v>
      </c>
      <c r="S47" s="74">
        <v>285</v>
      </c>
      <c r="T47" s="74">
        <v>305</v>
      </c>
      <c r="U47" s="74">
        <v>325</v>
      </c>
      <c r="V47" s="74">
        <v>345</v>
      </c>
      <c r="W47" s="74">
        <v>365</v>
      </c>
      <c r="X47" s="74">
        <v>380</v>
      </c>
      <c r="Y47" s="82">
        <v>396</v>
      </c>
      <c r="Z47" s="57"/>
      <c r="AA47" s="57"/>
    </row>
    <row r="48" spans="5:27">
      <c r="E48" s="76">
        <v>70</v>
      </c>
      <c r="F48" s="76">
        <v>120</v>
      </c>
      <c r="G48" s="76">
        <v>155</v>
      </c>
      <c r="H48" s="76">
        <v>197</v>
      </c>
      <c r="I48" s="76">
        <v>245</v>
      </c>
      <c r="J48" s="76">
        <v>295</v>
      </c>
      <c r="K48" s="76">
        <v>355</v>
      </c>
      <c r="L48" s="76">
        <v>415</v>
      </c>
      <c r="M48" s="70">
        <v>483</v>
      </c>
      <c r="Q48" s="76">
        <v>70</v>
      </c>
      <c r="R48" s="76">
        <v>280</v>
      </c>
      <c r="S48" s="76">
        <v>300</v>
      </c>
      <c r="T48" s="76">
        <v>320</v>
      </c>
      <c r="U48" s="76">
        <v>340</v>
      </c>
      <c r="V48" s="76">
        <v>360</v>
      </c>
      <c r="W48" s="76">
        <v>380</v>
      </c>
      <c r="X48" s="76">
        <v>395</v>
      </c>
      <c r="Y48" s="70">
        <v>412</v>
      </c>
      <c r="Z48" s="57"/>
      <c r="AA48" s="57"/>
    </row>
    <row r="49" spans="5:27">
      <c r="E49" s="74">
        <v>80</v>
      </c>
      <c r="F49" s="74">
        <v>128</v>
      </c>
      <c r="G49" s="74">
        <v>165</v>
      </c>
      <c r="H49" s="74">
        <v>210</v>
      </c>
      <c r="I49" s="74">
        <v>260</v>
      </c>
      <c r="J49" s="74">
        <v>315</v>
      </c>
      <c r="K49" s="74">
        <v>380</v>
      </c>
      <c r="L49" s="74">
        <v>445</v>
      </c>
      <c r="M49" s="82">
        <v>516</v>
      </c>
      <c r="Q49" s="74">
        <v>80</v>
      </c>
      <c r="R49" s="74">
        <v>290</v>
      </c>
      <c r="S49" s="74">
        <v>310</v>
      </c>
      <c r="T49" s="74">
        <v>335</v>
      </c>
      <c r="U49" s="74">
        <v>355</v>
      </c>
      <c r="V49" s="74">
        <v>375</v>
      </c>
      <c r="W49" s="74">
        <v>395</v>
      </c>
      <c r="X49" s="74">
        <v>410</v>
      </c>
      <c r="Y49" s="82">
        <v>427</v>
      </c>
      <c r="Z49" s="57"/>
      <c r="AA49" s="57"/>
    </row>
    <row r="50" spans="5:27">
      <c r="E50" s="76">
        <v>90</v>
      </c>
      <c r="F50" s="76">
        <v>135</v>
      </c>
      <c r="G50" s="76">
        <v>175</v>
      </c>
      <c r="H50" s="76">
        <v>223</v>
      </c>
      <c r="I50" s="76">
        <v>275</v>
      </c>
      <c r="J50" s="76">
        <v>335</v>
      </c>
      <c r="K50" s="76">
        <v>405</v>
      </c>
      <c r="L50" s="76">
        <v>475</v>
      </c>
      <c r="M50" s="70">
        <v>547</v>
      </c>
      <c r="Q50" s="76">
        <v>90</v>
      </c>
      <c r="R50" s="76">
        <v>300</v>
      </c>
      <c r="S50" s="76">
        <v>320</v>
      </c>
      <c r="T50" s="76">
        <v>345</v>
      </c>
      <c r="U50" s="76">
        <v>365</v>
      </c>
      <c r="V50" s="76">
        <v>390</v>
      </c>
      <c r="W50" s="76">
        <v>410</v>
      </c>
      <c r="X50" s="76">
        <v>425</v>
      </c>
      <c r="Y50" s="70">
        <v>442</v>
      </c>
      <c r="Z50" s="57"/>
      <c r="AA50" s="57"/>
    </row>
    <row r="51" spans="5:27">
      <c r="E51" s="74">
        <v>100</v>
      </c>
      <c r="F51" s="74">
        <v>143</v>
      </c>
      <c r="G51" s="74">
        <v>185</v>
      </c>
      <c r="H51" s="74">
        <v>235</v>
      </c>
      <c r="I51" s="74">
        <v>290</v>
      </c>
      <c r="J51" s="74">
        <v>355</v>
      </c>
      <c r="K51" s="74">
        <v>425</v>
      </c>
      <c r="L51" s="74">
        <v>500</v>
      </c>
      <c r="M51" s="82">
        <v>577</v>
      </c>
      <c r="Q51" s="74">
        <v>100</v>
      </c>
      <c r="R51" s="74">
        <v>310</v>
      </c>
      <c r="S51" s="74">
        <v>330</v>
      </c>
      <c r="T51" s="74">
        <v>355</v>
      </c>
      <c r="U51" s="74">
        <v>375</v>
      </c>
      <c r="V51" s="74">
        <v>400</v>
      </c>
      <c r="W51" s="74">
        <v>420</v>
      </c>
      <c r="X51" s="74">
        <v>440</v>
      </c>
      <c r="Y51" s="82">
        <v>458</v>
      </c>
      <c r="Z51" s="57"/>
      <c r="AA51" s="57"/>
    </row>
    <row r="52" spans="5:27">
      <c r="E52" s="76">
        <v>110</v>
      </c>
      <c r="F52" s="76">
        <v>150</v>
      </c>
      <c r="G52" s="76">
        <v>195</v>
      </c>
      <c r="H52" s="76">
        <v>247</v>
      </c>
      <c r="I52" s="76">
        <v>305</v>
      </c>
      <c r="J52" s="76">
        <v>370</v>
      </c>
      <c r="K52" s="76">
        <v>445</v>
      </c>
      <c r="L52" s="76">
        <v>525</v>
      </c>
      <c r="M52" s="70">
        <v>605</v>
      </c>
      <c r="Q52" s="76">
        <v>110</v>
      </c>
      <c r="R52" s="76">
        <v>320</v>
      </c>
      <c r="S52" s="76">
        <v>340</v>
      </c>
      <c r="T52" s="76">
        <v>365</v>
      </c>
      <c r="U52" s="76">
        <v>385</v>
      </c>
      <c r="V52" s="76">
        <v>410</v>
      </c>
      <c r="W52" s="76">
        <v>430</v>
      </c>
      <c r="X52" s="76">
        <v>450</v>
      </c>
      <c r="Y52" s="70">
        <v>471</v>
      </c>
      <c r="Z52" s="57"/>
      <c r="AA52" s="57"/>
    </row>
    <row r="53" spans="5:27">
      <c r="E53" s="79">
        <v>120</v>
      </c>
      <c r="F53" s="79">
        <v>157</v>
      </c>
      <c r="G53" s="79">
        <v>204</v>
      </c>
      <c r="H53" s="79">
        <v>258</v>
      </c>
      <c r="I53" s="79">
        <v>320</v>
      </c>
      <c r="J53" s="79">
        <v>385</v>
      </c>
      <c r="K53" s="79">
        <v>465</v>
      </c>
      <c r="L53" s="79">
        <v>545</v>
      </c>
      <c r="M53" s="83">
        <v>632</v>
      </c>
      <c r="Q53" s="79">
        <v>120</v>
      </c>
      <c r="R53" s="79">
        <v>330</v>
      </c>
      <c r="S53" s="79">
        <v>350</v>
      </c>
      <c r="T53" s="79">
        <v>375</v>
      </c>
      <c r="U53" s="79">
        <v>395</v>
      </c>
      <c r="V53" s="79">
        <v>420</v>
      </c>
      <c r="W53" s="79">
        <v>440</v>
      </c>
      <c r="X53" s="79">
        <v>460</v>
      </c>
      <c r="Y53" s="83">
        <v>481</v>
      </c>
      <c r="Z53" s="57"/>
      <c r="AA53" s="57"/>
    </row>
    <row r="54" spans="5:27">
      <c r="Q54" s="57"/>
      <c r="R54" s="57"/>
      <c r="S54" s="57"/>
      <c r="T54" s="57"/>
      <c r="U54" s="57"/>
      <c r="V54" s="57"/>
      <c r="W54" s="57"/>
      <c r="X54" s="57"/>
      <c r="Y54" s="57"/>
      <c r="Z54" s="57"/>
      <c r="AA54" s="57"/>
    </row>
    <row r="55" spans="5:27" ht="13.5" thickBot="1">
      <c r="E55" s="65" t="s">
        <v>61</v>
      </c>
      <c r="F55" s="65" t="s">
        <v>204</v>
      </c>
      <c r="G55" s="65" t="s">
        <v>206</v>
      </c>
      <c r="H55" s="65" t="s">
        <v>217</v>
      </c>
      <c r="I55" s="65" t="s">
        <v>218</v>
      </c>
      <c r="J55" s="65" t="s">
        <v>214</v>
      </c>
      <c r="K55" s="65" t="s">
        <v>219</v>
      </c>
      <c r="L55" s="66" t="s">
        <v>220</v>
      </c>
      <c r="M55" s="60"/>
      <c r="N55" s="60"/>
      <c r="O55" s="60"/>
      <c r="P55" s="60"/>
      <c r="Q55" s="65" t="s">
        <v>61</v>
      </c>
      <c r="R55" s="65" t="s">
        <v>204</v>
      </c>
      <c r="S55" s="65" t="s">
        <v>206</v>
      </c>
      <c r="T55" s="65" t="s">
        <v>217</v>
      </c>
      <c r="U55" s="65" t="s">
        <v>218</v>
      </c>
      <c r="V55" s="65" t="s">
        <v>214</v>
      </c>
      <c r="W55" s="65" t="s">
        <v>219</v>
      </c>
      <c r="X55" s="66" t="s">
        <v>220</v>
      </c>
      <c r="Y55" s="57"/>
      <c r="Z55" s="57"/>
      <c r="AA55" s="57"/>
    </row>
    <row r="56" spans="5:27" ht="13.5" thickTop="1">
      <c r="E56" s="76">
        <v>50</v>
      </c>
      <c r="F56" s="76">
        <v>135</v>
      </c>
      <c r="G56" s="76">
        <v>164</v>
      </c>
      <c r="H56" s="76">
        <v>196</v>
      </c>
      <c r="I56" s="76">
        <v>233</v>
      </c>
      <c r="J56" s="76">
        <v>274</v>
      </c>
      <c r="K56" s="76">
        <v>319</v>
      </c>
      <c r="L56" s="70">
        <v>369</v>
      </c>
      <c r="Q56" s="76">
        <v>50</v>
      </c>
      <c r="R56" s="76">
        <v>270</v>
      </c>
      <c r="S56" s="76">
        <v>286</v>
      </c>
      <c r="T56" s="76">
        <v>302</v>
      </c>
      <c r="U56" s="76">
        <v>318</v>
      </c>
      <c r="V56" s="76">
        <v>333</v>
      </c>
      <c r="W56" s="76">
        <v>347</v>
      </c>
      <c r="X56" s="70">
        <v>358</v>
      </c>
      <c r="Y56" s="57"/>
      <c r="Z56" s="57"/>
      <c r="AA56" s="57"/>
    </row>
    <row r="57" spans="5:27">
      <c r="E57" s="74">
        <v>60</v>
      </c>
      <c r="F57" s="74">
        <v>148</v>
      </c>
      <c r="G57" s="74">
        <v>179</v>
      </c>
      <c r="H57" s="74">
        <v>214</v>
      </c>
      <c r="I57" s="74">
        <v>255</v>
      </c>
      <c r="J57" s="74">
        <v>301</v>
      </c>
      <c r="K57" s="74">
        <v>350</v>
      </c>
      <c r="L57" s="82">
        <v>405</v>
      </c>
      <c r="Q57" s="74">
        <v>60</v>
      </c>
      <c r="R57" s="74">
        <v>284</v>
      </c>
      <c r="S57" s="74">
        <v>301</v>
      </c>
      <c r="T57" s="74">
        <v>317</v>
      </c>
      <c r="U57" s="74">
        <v>334</v>
      </c>
      <c r="V57" s="74">
        <v>351</v>
      </c>
      <c r="W57" s="74">
        <v>367</v>
      </c>
      <c r="X57" s="82">
        <v>378</v>
      </c>
      <c r="Y57" s="57"/>
      <c r="Z57" s="57"/>
      <c r="AA57" s="57"/>
    </row>
    <row r="58" spans="5:27">
      <c r="E58" s="76">
        <v>70</v>
      </c>
      <c r="F58" s="76">
        <v>159</v>
      </c>
      <c r="G58" s="76">
        <v>194</v>
      </c>
      <c r="H58" s="76">
        <v>231</v>
      </c>
      <c r="I58" s="76">
        <v>276</v>
      </c>
      <c r="J58" s="76">
        <v>325</v>
      </c>
      <c r="K58" s="76">
        <v>378</v>
      </c>
      <c r="L58" s="70">
        <v>437</v>
      </c>
      <c r="Q58" s="76">
        <v>70</v>
      </c>
      <c r="R58" s="76">
        <v>299</v>
      </c>
      <c r="S58" s="76">
        <v>315</v>
      </c>
      <c r="T58" s="76">
        <v>331</v>
      </c>
      <c r="U58" s="76">
        <v>349</v>
      </c>
      <c r="V58" s="76">
        <v>366</v>
      </c>
      <c r="W58" s="76">
        <v>382</v>
      </c>
      <c r="X58" s="70">
        <v>393</v>
      </c>
      <c r="Y58" s="57"/>
      <c r="Z58" s="57"/>
      <c r="AA58" s="57"/>
    </row>
    <row r="59" spans="5:27">
      <c r="E59" s="74">
        <v>80</v>
      </c>
      <c r="F59" s="74">
        <v>170</v>
      </c>
      <c r="G59" s="74">
        <v>207</v>
      </c>
      <c r="H59" s="74">
        <v>247</v>
      </c>
      <c r="I59" s="74">
        <v>295</v>
      </c>
      <c r="J59" s="74">
        <v>347</v>
      </c>
      <c r="K59" s="74">
        <v>404</v>
      </c>
      <c r="L59" s="82">
        <v>467</v>
      </c>
      <c r="Q59" s="74">
        <v>80</v>
      </c>
      <c r="R59" s="74">
        <v>310</v>
      </c>
      <c r="S59" s="74">
        <v>330</v>
      </c>
      <c r="T59" s="74">
        <v>346</v>
      </c>
      <c r="U59" s="74">
        <v>364</v>
      </c>
      <c r="V59" s="74">
        <v>381</v>
      </c>
      <c r="W59" s="74">
        <v>397</v>
      </c>
      <c r="X59" s="82">
        <v>409</v>
      </c>
      <c r="Y59" s="57"/>
      <c r="Z59" s="57"/>
      <c r="AA59" s="57"/>
    </row>
    <row r="60" spans="5:27">
      <c r="E60" s="76">
        <v>90</v>
      </c>
      <c r="F60" s="76">
        <v>181</v>
      </c>
      <c r="G60" s="76">
        <v>220</v>
      </c>
      <c r="H60" s="76">
        <v>262</v>
      </c>
      <c r="I60" s="76">
        <v>313</v>
      </c>
      <c r="J60" s="76">
        <v>368</v>
      </c>
      <c r="K60" s="76">
        <v>429</v>
      </c>
      <c r="L60" s="70">
        <v>495</v>
      </c>
      <c r="Q60" s="76">
        <v>90</v>
      </c>
      <c r="R60" s="76">
        <v>320</v>
      </c>
      <c r="S60" s="76">
        <v>340</v>
      </c>
      <c r="T60" s="76">
        <v>357</v>
      </c>
      <c r="U60" s="76">
        <v>377</v>
      </c>
      <c r="V60" s="76">
        <v>396</v>
      </c>
      <c r="W60" s="76">
        <v>411</v>
      </c>
      <c r="X60" s="70">
        <v>424</v>
      </c>
      <c r="Y60" s="57"/>
      <c r="Z60" s="57"/>
      <c r="AA60" s="57"/>
    </row>
    <row r="61" spans="5:27">
      <c r="E61" s="74">
        <v>100</v>
      </c>
      <c r="F61" s="74">
        <v>191</v>
      </c>
      <c r="G61" s="74">
        <v>231</v>
      </c>
      <c r="H61" s="74">
        <v>277</v>
      </c>
      <c r="I61" s="74">
        <v>330</v>
      </c>
      <c r="J61" s="74">
        <v>388</v>
      </c>
      <c r="K61" s="74">
        <v>452</v>
      </c>
      <c r="L61" s="82">
        <v>522</v>
      </c>
      <c r="Q61" s="74">
        <v>100</v>
      </c>
      <c r="R61" s="74">
        <v>329</v>
      </c>
      <c r="S61" s="74">
        <v>350</v>
      </c>
      <c r="T61" s="74">
        <v>366</v>
      </c>
      <c r="U61" s="74">
        <v>386</v>
      </c>
      <c r="V61" s="74">
        <v>405</v>
      </c>
      <c r="W61" s="74">
        <v>423</v>
      </c>
      <c r="X61" s="82">
        <v>436</v>
      </c>
      <c r="Y61" s="57"/>
      <c r="Z61" s="57"/>
      <c r="AA61" s="57"/>
    </row>
    <row r="62" spans="5:27">
      <c r="E62" s="76">
        <v>110</v>
      </c>
      <c r="F62" s="76">
        <v>200</v>
      </c>
      <c r="G62" s="76">
        <v>243</v>
      </c>
      <c r="H62" s="76">
        <v>290</v>
      </c>
      <c r="I62" s="76">
        <v>346</v>
      </c>
      <c r="J62" s="76">
        <v>407</v>
      </c>
      <c r="K62" s="76">
        <v>474</v>
      </c>
      <c r="L62" s="70">
        <v>548</v>
      </c>
      <c r="Q62" s="76">
        <v>110</v>
      </c>
      <c r="R62" s="76">
        <v>339</v>
      </c>
      <c r="S62" s="76">
        <v>359</v>
      </c>
      <c r="T62" s="76">
        <v>376</v>
      </c>
      <c r="U62" s="76">
        <v>397</v>
      </c>
      <c r="V62" s="76">
        <v>416</v>
      </c>
      <c r="W62" s="76">
        <v>433</v>
      </c>
      <c r="X62" s="70">
        <v>446</v>
      </c>
      <c r="Y62" s="57"/>
      <c r="Z62" s="57"/>
      <c r="AA62" s="57"/>
    </row>
    <row r="63" spans="5:27">
      <c r="E63" s="79">
        <v>120</v>
      </c>
      <c r="F63" s="79">
        <v>209</v>
      </c>
      <c r="G63" s="79">
        <v>253</v>
      </c>
      <c r="H63" s="79">
        <v>303</v>
      </c>
      <c r="I63" s="79">
        <v>361</v>
      </c>
      <c r="J63" s="79">
        <v>425</v>
      </c>
      <c r="K63" s="79">
        <v>495</v>
      </c>
      <c r="L63" s="83">
        <v>572</v>
      </c>
      <c r="Q63" s="79">
        <v>120</v>
      </c>
      <c r="R63" s="79">
        <v>349</v>
      </c>
      <c r="S63" s="79">
        <v>369</v>
      </c>
      <c r="T63" s="79">
        <v>386</v>
      </c>
      <c r="U63" s="79">
        <v>407</v>
      </c>
      <c r="V63" s="79">
        <v>426</v>
      </c>
      <c r="W63" s="79">
        <v>443</v>
      </c>
      <c r="X63" s="83">
        <v>457</v>
      </c>
      <c r="Y63" s="57"/>
      <c r="Z63" s="57"/>
      <c r="AA63" s="57"/>
    </row>
    <row r="64" spans="5:27">
      <c r="Q64" s="57"/>
      <c r="R64" s="57"/>
      <c r="S64" s="57"/>
      <c r="T64" s="57"/>
      <c r="U64" s="57"/>
      <c r="V64" s="57"/>
      <c r="W64" s="57"/>
      <c r="X64" s="57"/>
      <c r="Y64" s="57"/>
      <c r="Z64" s="57"/>
      <c r="AA64" s="57"/>
    </row>
    <row r="65" spans="5:27" ht="13.5" thickBot="1">
      <c r="E65" s="65" t="s">
        <v>61</v>
      </c>
      <c r="F65" s="65" t="s">
        <v>210</v>
      </c>
      <c r="G65" s="65" t="s">
        <v>221</v>
      </c>
      <c r="H65" s="65" t="s">
        <v>222</v>
      </c>
      <c r="I65" s="65" t="s">
        <v>223</v>
      </c>
      <c r="J65" s="65" t="s">
        <v>224</v>
      </c>
      <c r="K65" s="65" t="s">
        <v>225</v>
      </c>
      <c r="L65" s="65" t="s">
        <v>226</v>
      </c>
      <c r="M65" s="66" t="s">
        <v>227</v>
      </c>
      <c r="N65" s="60"/>
      <c r="O65" s="60"/>
      <c r="P65" s="60"/>
      <c r="Q65" s="65" t="s">
        <v>61</v>
      </c>
      <c r="R65" s="65" t="s">
        <v>210</v>
      </c>
      <c r="S65" s="65" t="s">
        <v>221</v>
      </c>
      <c r="T65" s="65" t="s">
        <v>222</v>
      </c>
      <c r="U65" s="65" t="s">
        <v>223</v>
      </c>
      <c r="V65" s="65" t="s">
        <v>224</v>
      </c>
      <c r="W65" s="65" t="s">
        <v>225</v>
      </c>
      <c r="X65" s="65" t="s">
        <v>226</v>
      </c>
      <c r="Y65" s="66" t="s">
        <v>227</v>
      </c>
      <c r="Z65" s="57"/>
      <c r="AA65" s="57"/>
    </row>
    <row r="66" spans="5:27" ht="13.5" thickTop="1">
      <c r="E66" s="76">
        <v>50</v>
      </c>
      <c r="F66" s="76">
        <v>100</v>
      </c>
      <c r="G66" s="76">
        <v>130</v>
      </c>
      <c r="H66" s="76">
        <v>165</v>
      </c>
      <c r="I66" s="76">
        <v>205</v>
      </c>
      <c r="J66" s="76">
        <v>255</v>
      </c>
      <c r="K66" s="76">
        <v>300</v>
      </c>
      <c r="L66" s="76">
        <v>350</v>
      </c>
      <c r="M66" s="70">
        <v>385</v>
      </c>
      <c r="Q66" s="76">
        <v>50</v>
      </c>
      <c r="R66" s="76">
        <v>245</v>
      </c>
      <c r="S66" s="76">
        <v>265</v>
      </c>
      <c r="T66" s="76">
        <v>285</v>
      </c>
      <c r="U66" s="76">
        <v>300</v>
      </c>
      <c r="V66" s="76">
        <v>320</v>
      </c>
      <c r="W66" s="76">
        <v>335</v>
      </c>
      <c r="X66" s="76">
        <v>350</v>
      </c>
      <c r="Y66" s="70">
        <v>353</v>
      </c>
      <c r="Z66" s="57"/>
      <c r="AA66" s="57"/>
    </row>
    <row r="67" spans="5:27">
      <c r="E67" s="74">
        <v>60</v>
      </c>
      <c r="F67" s="74">
        <v>110</v>
      </c>
      <c r="G67" s="74">
        <v>143</v>
      </c>
      <c r="H67" s="74">
        <v>182</v>
      </c>
      <c r="I67" s="74">
        <v>225</v>
      </c>
      <c r="J67" s="74">
        <v>275</v>
      </c>
      <c r="K67" s="74">
        <v>330</v>
      </c>
      <c r="L67" s="74">
        <v>385</v>
      </c>
      <c r="M67" s="82">
        <v>423</v>
      </c>
      <c r="Q67" s="74">
        <v>60</v>
      </c>
      <c r="R67" s="74">
        <v>260</v>
      </c>
      <c r="S67" s="74">
        <v>280</v>
      </c>
      <c r="T67" s="74">
        <v>300</v>
      </c>
      <c r="U67" s="74">
        <v>315</v>
      </c>
      <c r="V67" s="74">
        <v>335</v>
      </c>
      <c r="W67" s="74">
        <v>350</v>
      </c>
      <c r="X67" s="74">
        <v>365</v>
      </c>
      <c r="Y67" s="82">
        <v>368</v>
      </c>
      <c r="Z67" s="57"/>
      <c r="AA67" s="57"/>
    </row>
    <row r="68" spans="5:27">
      <c r="E68" s="76">
        <v>70</v>
      </c>
      <c r="F68" s="76">
        <v>120</v>
      </c>
      <c r="G68" s="76">
        <v>155</v>
      </c>
      <c r="H68" s="76">
        <v>197</v>
      </c>
      <c r="I68" s="76">
        <v>245</v>
      </c>
      <c r="J68" s="76">
        <v>295</v>
      </c>
      <c r="K68" s="76">
        <v>355</v>
      </c>
      <c r="L68" s="76">
        <v>415</v>
      </c>
      <c r="M68" s="70">
        <v>458</v>
      </c>
      <c r="Q68" s="76">
        <v>70</v>
      </c>
      <c r="R68" s="76">
        <v>270</v>
      </c>
      <c r="S68" s="76">
        <v>290</v>
      </c>
      <c r="T68" s="76">
        <v>310</v>
      </c>
      <c r="U68" s="76">
        <v>330</v>
      </c>
      <c r="V68" s="76">
        <v>350</v>
      </c>
      <c r="W68" s="76">
        <v>365</v>
      </c>
      <c r="X68" s="76">
        <v>380</v>
      </c>
      <c r="Y68" s="70">
        <v>383</v>
      </c>
      <c r="Z68" s="57"/>
      <c r="AA68" s="57"/>
    </row>
    <row r="69" spans="5:27">
      <c r="E69" s="74">
        <v>80</v>
      </c>
      <c r="F69" s="74">
        <v>128</v>
      </c>
      <c r="G69" s="74">
        <v>165</v>
      </c>
      <c r="H69" s="74">
        <v>210</v>
      </c>
      <c r="I69" s="74">
        <v>260</v>
      </c>
      <c r="J69" s="74">
        <v>315</v>
      </c>
      <c r="K69" s="74">
        <v>380</v>
      </c>
      <c r="L69" s="74">
        <v>445</v>
      </c>
      <c r="M69" s="82">
        <v>490</v>
      </c>
      <c r="Q69" s="74">
        <v>80</v>
      </c>
      <c r="R69" s="74">
        <v>280</v>
      </c>
      <c r="S69" s="74">
        <v>300</v>
      </c>
      <c r="T69" s="74">
        <v>320</v>
      </c>
      <c r="U69" s="74">
        <v>340</v>
      </c>
      <c r="V69" s="74">
        <v>360</v>
      </c>
      <c r="W69" s="74">
        <v>380</v>
      </c>
      <c r="X69" s="74">
        <v>395</v>
      </c>
      <c r="Y69" s="82">
        <v>399</v>
      </c>
      <c r="Z69" s="57"/>
      <c r="AA69" s="57"/>
    </row>
    <row r="70" spans="5:27">
      <c r="E70" s="76">
        <v>90</v>
      </c>
      <c r="F70" s="76">
        <v>135</v>
      </c>
      <c r="G70" s="76">
        <v>175</v>
      </c>
      <c r="H70" s="76">
        <v>223</v>
      </c>
      <c r="I70" s="76">
        <v>275</v>
      </c>
      <c r="J70" s="76">
        <v>335</v>
      </c>
      <c r="K70" s="76">
        <v>405</v>
      </c>
      <c r="L70" s="76">
        <v>475</v>
      </c>
      <c r="M70" s="70">
        <v>522</v>
      </c>
      <c r="Q70" s="76">
        <v>90</v>
      </c>
      <c r="R70" s="76">
        <v>290</v>
      </c>
      <c r="S70" s="76">
        <v>310</v>
      </c>
      <c r="T70" s="76">
        <v>330</v>
      </c>
      <c r="U70" s="76">
        <v>350</v>
      </c>
      <c r="V70" s="76">
        <v>370</v>
      </c>
      <c r="W70" s="76">
        <v>390</v>
      </c>
      <c r="X70" s="76">
        <v>405</v>
      </c>
      <c r="Y70" s="70">
        <v>409</v>
      </c>
      <c r="Z70" s="57"/>
      <c r="AA70" s="57"/>
    </row>
    <row r="71" spans="5:27">
      <c r="E71" s="74">
        <v>100</v>
      </c>
      <c r="F71" s="74">
        <v>143</v>
      </c>
      <c r="G71" s="74">
        <v>185</v>
      </c>
      <c r="H71" s="74">
        <v>235</v>
      </c>
      <c r="I71" s="74">
        <v>290</v>
      </c>
      <c r="J71" s="74">
        <v>355</v>
      </c>
      <c r="K71" s="74">
        <v>425</v>
      </c>
      <c r="L71" s="74">
        <v>500</v>
      </c>
      <c r="M71" s="82">
        <v>550</v>
      </c>
      <c r="Q71" s="74">
        <v>100</v>
      </c>
      <c r="R71" s="74">
        <v>300</v>
      </c>
      <c r="S71" s="74">
        <v>320</v>
      </c>
      <c r="T71" s="74">
        <v>340</v>
      </c>
      <c r="U71" s="74">
        <v>360</v>
      </c>
      <c r="V71" s="74">
        <v>380</v>
      </c>
      <c r="W71" s="74">
        <v>400</v>
      </c>
      <c r="X71" s="74">
        <v>415</v>
      </c>
      <c r="Y71" s="82">
        <v>419</v>
      </c>
      <c r="Z71" s="57"/>
      <c r="AA71" s="57"/>
    </row>
    <row r="72" spans="5:27">
      <c r="E72" s="76">
        <v>110</v>
      </c>
      <c r="F72" s="76">
        <v>150</v>
      </c>
      <c r="G72" s="76">
        <v>195</v>
      </c>
      <c r="H72" s="76">
        <v>247</v>
      </c>
      <c r="I72" s="76">
        <v>305</v>
      </c>
      <c r="J72" s="76">
        <v>370</v>
      </c>
      <c r="K72" s="76">
        <v>445</v>
      </c>
      <c r="L72" s="76">
        <v>525</v>
      </c>
      <c r="M72" s="70">
        <v>577</v>
      </c>
      <c r="Q72" s="76">
        <v>110</v>
      </c>
      <c r="R72" s="76">
        <v>310</v>
      </c>
      <c r="S72" s="76">
        <v>330</v>
      </c>
      <c r="T72" s="76">
        <v>350</v>
      </c>
      <c r="U72" s="76">
        <v>370</v>
      </c>
      <c r="V72" s="76">
        <v>390</v>
      </c>
      <c r="W72" s="76">
        <v>410</v>
      </c>
      <c r="X72" s="76">
        <v>425</v>
      </c>
      <c r="Y72" s="70">
        <v>429</v>
      </c>
      <c r="Z72" s="57"/>
      <c r="AA72" s="57"/>
    </row>
    <row r="73" spans="5:27">
      <c r="E73" s="79">
        <v>120</v>
      </c>
      <c r="F73" s="79">
        <v>157</v>
      </c>
      <c r="G73" s="79">
        <v>204</v>
      </c>
      <c r="H73" s="79">
        <v>258</v>
      </c>
      <c r="I73" s="79">
        <v>320</v>
      </c>
      <c r="J73" s="79">
        <v>385</v>
      </c>
      <c r="K73" s="79">
        <v>465</v>
      </c>
      <c r="L73" s="79">
        <v>545</v>
      </c>
      <c r="M73" s="83">
        <v>603</v>
      </c>
      <c r="Q73" s="79">
        <v>120</v>
      </c>
      <c r="R73" s="79">
        <v>315</v>
      </c>
      <c r="S73" s="79">
        <v>335</v>
      </c>
      <c r="T73" s="79">
        <v>360</v>
      </c>
      <c r="U73" s="79">
        <v>380</v>
      </c>
      <c r="V73" s="79">
        <v>400</v>
      </c>
      <c r="W73" s="79">
        <v>420</v>
      </c>
      <c r="X73" s="79">
        <v>435</v>
      </c>
      <c r="Y73" s="83">
        <v>439</v>
      </c>
      <c r="Z73" s="57"/>
      <c r="AA73" s="57"/>
    </row>
    <row r="74" spans="5:27">
      <c r="Q74" s="57"/>
      <c r="R74" s="57"/>
      <c r="S74" s="57"/>
      <c r="T74" s="57"/>
      <c r="U74" s="57"/>
      <c r="V74" s="57"/>
      <c r="W74" s="57"/>
      <c r="X74" s="57"/>
      <c r="Y74" s="57"/>
      <c r="Z74" s="57"/>
      <c r="AA74" s="57"/>
    </row>
    <row r="75" spans="5:27" ht="13.5" thickBot="1">
      <c r="E75" s="65" t="s">
        <v>61</v>
      </c>
      <c r="F75" s="65" t="s">
        <v>228</v>
      </c>
      <c r="G75" s="65" t="s">
        <v>213</v>
      </c>
      <c r="H75" s="65" t="s">
        <v>214</v>
      </c>
      <c r="I75" s="65" t="s">
        <v>215</v>
      </c>
      <c r="J75" s="65" t="s">
        <v>216</v>
      </c>
      <c r="K75" s="65" t="s">
        <v>229</v>
      </c>
      <c r="L75" s="65" t="s">
        <v>230</v>
      </c>
      <c r="M75" s="65" t="s">
        <v>231</v>
      </c>
      <c r="N75" s="66" t="s">
        <v>232</v>
      </c>
      <c r="O75" s="60"/>
      <c r="P75" s="60"/>
      <c r="Q75" s="65" t="s">
        <v>61</v>
      </c>
      <c r="R75" s="65" t="s">
        <v>228</v>
      </c>
      <c r="S75" s="65" t="s">
        <v>213</v>
      </c>
      <c r="T75" s="65" t="s">
        <v>214</v>
      </c>
      <c r="U75" s="65" t="s">
        <v>215</v>
      </c>
      <c r="V75" s="65" t="s">
        <v>216</v>
      </c>
      <c r="W75" s="65" t="s">
        <v>229</v>
      </c>
      <c r="X75" s="65" t="s">
        <v>230</v>
      </c>
      <c r="Y75" s="65" t="s">
        <v>231</v>
      </c>
      <c r="Z75" s="66" t="s">
        <v>232</v>
      </c>
      <c r="AA75" s="57"/>
    </row>
    <row r="76" spans="5:27" ht="13.5" thickTop="1">
      <c r="E76" s="76">
        <v>60</v>
      </c>
      <c r="F76" s="76">
        <v>250</v>
      </c>
      <c r="G76" s="76">
        <v>285</v>
      </c>
      <c r="H76" s="76">
        <v>330</v>
      </c>
      <c r="I76" s="76">
        <v>385</v>
      </c>
      <c r="J76" s="76">
        <v>445</v>
      </c>
      <c r="K76" s="76">
        <v>515</v>
      </c>
      <c r="L76" s="76">
        <v>585</v>
      </c>
      <c r="M76" s="76">
        <v>695</v>
      </c>
      <c r="N76" s="70">
        <v>825</v>
      </c>
      <c r="Q76" s="76">
        <v>60</v>
      </c>
      <c r="R76" s="76">
        <v>345</v>
      </c>
      <c r="S76" s="76">
        <v>355</v>
      </c>
      <c r="T76" s="76">
        <v>375</v>
      </c>
      <c r="U76" s="76">
        <v>390</v>
      </c>
      <c r="V76" s="76">
        <v>410</v>
      </c>
      <c r="W76" s="76">
        <v>430</v>
      </c>
      <c r="X76" s="76">
        <v>445</v>
      </c>
      <c r="Y76" s="76">
        <v>470</v>
      </c>
      <c r="Z76" s="70">
        <v>495</v>
      </c>
      <c r="AA76" s="57"/>
    </row>
    <row r="77" spans="5:27">
      <c r="E77" s="74">
        <v>70</v>
      </c>
      <c r="F77" s="74">
        <v>270</v>
      </c>
      <c r="G77" s="74">
        <v>310</v>
      </c>
      <c r="H77" s="74">
        <v>355</v>
      </c>
      <c r="I77" s="74">
        <v>415</v>
      </c>
      <c r="J77" s="74">
        <v>480</v>
      </c>
      <c r="K77" s="74">
        <v>555</v>
      </c>
      <c r="L77" s="74">
        <v>630</v>
      </c>
      <c r="M77" s="74">
        <v>755</v>
      </c>
      <c r="N77" s="82">
        <v>890</v>
      </c>
      <c r="Q77" s="74">
        <v>70</v>
      </c>
      <c r="R77" s="74">
        <v>360</v>
      </c>
      <c r="S77" s="74">
        <v>380</v>
      </c>
      <c r="T77" s="74">
        <v>395</v>
      </c>
      <c r="U77" s="74">
        <v>410</v>
      </c>
      <c r="V77" s="74">
        <v>430</v>
      </c>
      <c r="W77" s="74">
        <v>450</v>
      </c>
      <c r="X77" s="74">
        <v>465</v>
      </c>
      <c r="Y77" s="74">
        <v>495</v>
      </c>
      <c r="Z77" s="82">
        <v>515</v>
      </c>
      <c r="AA77" s="57"/>
    </row>
    <row r="78" spans="5:27">
      <c r="E78" s="76">
        <v>80</v>
      </c>
      <c r="F78" s="76">
        <v>290</v>
      </c>
      <c r="G78" s="76">
        <v>330</v>
      </c>
      <c r="H78" s="76">
        <v>380</v>
      </c>
      <c r="I78" s="76">
        <v>445</v>
      </c>
      <c r="J78" s="76">
        <v>515</v>
      </c>
      <c r="K78" s="76">
        <v>590</v>
      </c>
      <c r="L78" s="76">
        <v>675</v>
      </c>
      <c r="M78" s="76">
        <v>805</v>
      </c>
      <c r="N78" s="70">
        <v>950</v>
      </c>
      <c r="Q78" s="76">
        <v>80</v>
      </c>
      <c r="R78" s="76">
        <v>375</v>
      </c>
      <c r="S78" s="76">
        <v>395</v>
      </c>
      <c r="T78" s="76">
        <v>410</v>
      </c>
      <c r="U78" s="76">
        <v>430</v>
      </c>
      <c r="V78" s="76">
        <v>450</v>
      </c>
      <c r="W78" s="76">
        <v>470</v>
      </c>
      <c r="X78" s="76">
        <v>485</v>
      </c>
      <c r="Y78" s="76">
        <v>515</v>
      </c>
      <c r="Z78" s="70">
        <v>535</v>
      </c>
      <c r="AA78" s="57"/>
    </row>
    <row r="79" spans="5:27">
      <c r="E79" s="74">
        <v>90</v>
      </c>
      <c r="F79" s="74">
        <v>310</v>
      </c>
      <c r="G79" s="74">
        <v>350</v>
      </c>
      <c r="H79" s="74">
        <v>405</v>
      </c>
      <c r="I79" s="74">
        <v>475</v>
      </c>
      <c r="J79" s="74">
        <v>545</v>
      </c>
      <c r="K79" s="74">
        <v>625</v>
      </c>
      <c r="L79" s="74">
        <v>715</v>
      </c>
      <c r="M79" s="74">
        <v>855</v>
      </c>
      <c r="N79" s="82">
        <v>1005</v>
      </c>
      <c r="Q79" s="74">
        <v>90</v>
      </c>
      <c r="R79" s="74">
        <v>390</v>
      </c>
      <c r="S79" s="74">
        <v>410</v>
      </c>
      <c r="T79" s="74">
        <v>425</v>
      </c>
      <c r="U79" s="74">
        <v>445</v>
      </c>
      <c r="V79" s="74">
        <v>465</v>
      </c>
      <c r="W79" s="74">
        <v>485</v>
      </c>
      <c r="X79" s="74">
        <v>505</v>
      </c>
      <c r="Y79" s="74">
        <v>535</v>
      </c>
      <c r="Z79" s="82">
        <v>555</v>
      </c>
      <c r="AA79" s="57"/>
    </row>
    <row r="80" spans="5:27">
      <c r="E80" s="76">
        <v>100</v>
      </c>
      <c r="F80" s="76">
        <v>325</v>
      </c>
      <c r="G80" s="76">
        <v>370</v>
      </c>
      <c r="H80" s="76">
        <v>425</v>
      </c>
      <c r="I80" s="76">
        <v>500</v>
      </c>
      <c r="J80" s="76">
        <v>575</v>
      </c>
      <c r="K80" s="76">
        <v>660</v>
      </c>
      <c r="L80" s="76">
        <v>755</v>
      </c>
      <c r="M80" s="76">
        <v>900</v>
      </c>
      <c r="N80" s="70">
        <v>1060</v>
      </c>
      <c r="Q80" s="76">
        <v>100</v>
      </c>
      <c r="R80" s="76">
        <v>400</v>
      </c>
      <c r="S80" s="76">
        <v>420</v>
      </c>
      <c r="T80" s="76">
        <v>440</v>
      </c>
      <c r="U80" s="76">
        <v>460</v>
      </c>
      <c r="V80" s="76">
        <v>480</v>
      </c>
      <c r="W80" s="76">
        <v>500</v>
      </c>
      <c r="X80" s="76">
        <v>520</v>
      </c>
      <c r="Y80" s="76">
        <v>550</v>
      </c>
      <c r="Z80" s="70">
        <v>575</v>
      </c>
      <c r="AA80" s="57"/>
    </row>
    <row r="81" spans="5:27">
      <c r="E81" s="74">
        <v>110</v>
      </c>
      <c r="F81" s="74">
        <v>340</v>
      </c>
      <c r="G81" s="74">
        <v>390</v>
      </c>
      <c r="H81" s="74">
        <v>445</v>
      </c>
      <c r="I81" s="74">
        <v>525</v>
      </c>
      <c r="J81" s="74">
        <v>605</v>
      </c>
      <c r="K81" s="74">
        <v>695</v>
      </c>
      <c r="L81" s="74">
        <v>790</v>
      </c>
      <c r="M81" s="74">
        <v>945</v>
      </c>
      <c r="N81" s="82">
        <v>1110</v>
      </c>
      <c r="Q81" s="74">
        <v>110</v>
      </c>
      <c r="R81" s="74">
        <v>410</v>
      </c>
      <c r="S81" s="74">
        <v>430</v>
      </c>
      <c r="T81" s="74">
        <v>450</v>
      </c>
      <c r="U81" s="74">
        <v>470</v>
      </c>
      <c r="V81" s="74">
        <v>495</v>
      </c>
      <c r="W81" s="74">
        <v>515</v>
      </c>
      <c r="X81" s="74">
        <v>535</v>
      </c>
      <c r="Y81" s="74">
        <v>565</v>
      </c>
      <c r="Z81" s="82">
        <v>590</v>
      </c>
      <c r="AA81" s="57"/>
    </row>
    <row r="82" spans="5:27">
      <c r="E82" s="76">
        <v>120</v>
      </c>
      <c r="F82" s="76">
        <v>355</v>
      </c>
      <c r="G82" s="76">
        <v>405</v>
      </c>
      <c r="H82" s="76">
        <v>465</v>
      </c>
      <c r="I82" s="76">
        <v>545</v>
      </c>
      <c r="J82" s="76">
        <v>630</v>
      </c>
      <c r="K82" s="76">
        <v>725</v>
      </c>
      <c r="L82" s="76">
        <v>825</v>
      </c>
      <c r="M82" s="76">
        <v>985</v>
      </c>
      <c r="N82" s="70">
        <v>1160</v>
      </c>
      <c r="Q82" s="76">
        <v>120</v>
      </c>
      <c r="R82" s="76">
        <v>420</v>
      </c>
      <c r="S82" s="76">
        <v>440</v>
      </c>
      <c r="T82" s="76">
        <v>460</v>
      </c>
      <c r="U82" s="76">
        <v>480</v>
      </c>
      <c r="V82" s="76">
        <v>505</v>
      </c>
      <c r="W82" s="76">
        <v>530</v>
      </c>
      <c r="X82" s="76">
        <v>550</v>
      </c>
      <c r="Y82" s="76">
        <v>580</v>
      </c>
      <c r="Z82" s="70">
        <v>605</v>
      </c>
      <c r="AA82" s="57"/>
    </row>
    <row r="83" spans="5:27">
      <c r="E83" s="79">
        <v>130</v>
      </c>
      <c r="F83" s="79">
        <v>370</v>
      </c>
      <c r="G83" s="79">
        <v>425</v>
      </c>
      <c r="H83" s="79">
        <v>485</v>
      </c>
      <c r="I83" s="79">
        <v>565</v>
      </c>
      <c r="J83" s="79">
        <v>655</v>
      </c>
      <c r="K83" s="79">
        <v>755</v>
      </c>
      <c r="L83" s="79">
        <v>860</v>
      </c>
      <c r="M83" s="79">
        <v>1025</v>
      </c>
      <c r="N83" s="83">
        <v>1210</v>
      </c>
      <c r="Q83" s="79">
        <v>130</v>
      </c>
      <c r="R83" s="79">
        <v>425</v>
      </c>
      <c r="S83" s="79">
        <v>445</v>
      </c>
      <c r="T83" s="79">
        <v>465</v>
      </c>
      <c r="U83" s="79">
        <v>485</v>
      </c>
      <c r="V83" s="79">
        <v>515</v>
      </c>
      <c r="W83" s="79">
        <v>540</v>
      </c>
      <c r="X83" s="79">
        <v>560</v>
      </c>
      <c r="Y83" s="79">
        <v>590</v>
      </c>
      <c r="Z83" s="83">
        <v>620</v>
      </c>
      <c r="AA83" s="57"/>
    </row>
    <row r="84" spans="5:27">
      <c r="Q84" s="57"/>
      <c r="R84" s="57"/>
      <c r="S84" s="57"/>
      <c r="T84" s="57"/>
      <c r="U84" s="57"/>
      <c r="V84" s="57"/>
      <c r="W84" s="57"/>
      <c r="X84" s="57"/>
      <c r="Y84" s="57"/>
      <c r="Z84" s="57"/>
      <c r="AA84" s="57"/>
    </row>
    <row r="85" spans="5:27" ht="13.5" thickBot="1">
      <c r="E85" s="65" t="s">
        <v>61</v>
      </c>
      <c r="F85" s="65" t="s">
        <v>233</v>
      </c>
      <c r="G85" s="65" t="s">
        <v>234</v>
      </c>
      <c r="H85" s="65" t="s">
        <v>235</v>
      </c>
      <c r="I85" s="65" t="s">
        <v>236</v>
      </c>
      <c r="J85" s="65" t="s">
        <v>237</v>
      </c>
      <c r="K85" s="65" t="s">
        <v>238</v>
      </c>
      <c r="L85" s="66" t="s">
        <v>239</v>
      </c>
      <c r="M85" s="60"/>
      <c r="N85" s="60"/>
      <c r="O85" s="60"/>
      <c r="P85" s="60"/>
      <c r="Q85" s="65" t="s">
        <v>61</v>
      </c>
      <c r="R85" s="65" t="s">
        <v>233</v>
      </c>
      <c r="S85" s="65" t="s">
        <v>234</v>
      </c>
      <c r="T85" s="65" t="s">
        <v>235</v>
      </c>
      <c r="U85" s="65" t="s">
        <v>236</v>
      </c>
      <c r="V85" s="65" t="s">
        <v>237</v>
      </c>
      <c r="W85" s="65" t="s">
        <v>238</v>
      </c>
      <c r="X85" s="66" t="s">
        <v>239</v>
      </c>
      <c r="Y85" s="57"/>
      <c r="Z85" s="57"/>
      <c r="AA85" s="57"/>
    </row>
    <row r="86" spans="5:27" ht="13.5" thickTop="1">
      <c r="E86" s="76">
        <v>50</v>
      </c>
      <c r="F86" s="76">
        <v>230</v>
      </c>
      <c r="G86" s="76">
        <v>300</v>
      </c>
      <c r="H86" s="76">
        <v>350</v>
      </c>
      <c r="I86" s="76">
        <v>410</v>
      </c>
      <c r="J86" s="76">
        <v>470</v>
      </c>
      <c r="K86" s="76">
        <v>535</v>
      </c>
      <c r="L86" s="70">
        <v>640</v>
      </c>
      <c r="Q86" s="76">
        <v>50</v>
      </c>
      <c r="R86" s="76">
        <v>325</v>
      </c>
      <c r="S86" s="76">
        <v>355</v>
      </c>
      <c r="T86" s="76">
        <v>370</v>
      </c>
      <c r="U86" s="76">
        <v>390</v>
      </c>
      <c r="V86" s="76">
        <v>405</v>
      </c>
      <c r="W86" s="76">
        <v>420</v>
      </c>
      <c r="X86" s="70">
        <v>435</v>
      </c>
      <c r="Y86" s="57"/>
      <c r="Z86" s="57"/>
      <c r="AA86" s="57"/>
    </row>
    <row r="87" spans="5:27">
      <c r="E87" s="74">
        <v>60</v>
      </c>
      <c r="F87" s="74">
        <v>250</v>
      </c>
      <c r="G87" s="74">
        <v>330</v>
      </c>
      <c r="H87" s="74">
        <v>385</v>
      </c>
      <c r="I87" s="74">
        <v>445</v>
      </c>
      <c r="J87" s="74">
        <v>515</v>
      </c>
      <c r="K87" s="74">
        <v>585</v>
      </c>
      <c r="L87" s="82">
        <v>695</v>
      </c>
      <c r="Q87" s="74">
        <v>60</v>
      </c>
      <c r="R87" s="74">
        <v>340</v>
      </c>
      <c r="S87" s="74">
        <v>370</v>
      </c>
      <c r="T87" s="74">
        <v>390</v>
      </c>
      <c r="U87" s="74">
        <v>410</v>
      </c>
      <c r="V87" s="74">
        <v>425</v>
      </c>
      <c r="W87" s="74">
        <v>440</v>
      </c>
      <c r="X87" s="82">
        <v>455</v>
      </c>
      <c r="Y87" s="57"/>
      <c r="Z87" s="57"/>
      <c r="AA87" s="57"/>
    </row>
    <row r="88" spans="5:27">
      <c r="E88" s="76">
        <v>70</v>
      </c>
      <c r="F88" s="76">
        <v>270</v>
      </c>
      <c r="G88" s="76">
        <v>355</v>
      </c>
      <c r="H88" s="76">
        <v>415</v>
      </c>
      <c r="I88" s="76">
        <v>480</v>
      </c>
      <c r="J88" s="76">
        <v>555</v>
      </c>
      <c r="K88" s="76">
        <v>630</v>
      </c>
      <c r="L88" s="70">
        <v>755</v>
      </c>
      <c r="Q88" s="76">
        <v>70</v>
      </c>
      <c r="R88" s="76">
        <v>355</v>
      </c>
      <c r="S88" s="76">
        <v>385</v>
      </c>
      <c r="T88" s="76">
        <v>405</v>
      </c>
      <c r="U88" s="76">
        <v>425</v>
      </c>
      <c r="V88" s="76">
        <v>440</v>
      </c>
      <c r="W88" s="76">
        <v>455</v>
      </c>
      <c r="X88" s="70">
        <v>475</v>
      </c>
      <c r="Y88" s="57"/>
      <c r="Z88" s="57"/>
      <c r="AA88" s="57"/>
    </row>
    <row r="89" spans="5:27">
      <c r="E89" s="74">
        <v>80</v>
      </c>
      <c r="F89" s="74">
        <v>290</v>
      </c>
      <c r="G89" s="74">
        <v>380</v>
      </c>
      <c r="H89" s="74">
        <v>445</v>
      </c>
      <c r="I89" s="74">
        <v>515</v>
      </c>
      <c r="J89" s="74">
        <v>590</v>
      </c>
      <c r="K89" s="74">
        <v>675</v>
      </c>
      <c r="L89" s="82">
        <v>805</v>
      </c>
      <c r="Q89" s="74">
        <v>80</v>
      </c>
      <c r="R89" s="74">
        <v>370</v>
      </c>
      <c r="S89" s="74">
        <v>400</v>
      </c>
      <c r="T89" s="74">
        <v>420</v>
      </c>
      <c r="U89" s="74">
        <v>440</v>
      </c>
      <c r="V89" s="74">
        <v>455</v>
      </c>
      <c r="W89" s="74">
        <v>470</v>
      </c>
      <c r="X89" s="82">
        <v>490</v>
      </c>
      <c r="Y89" s="57"/>
      <c r="Z89" s="57"/>
      <c r="AA89" s="57"/>
    </row>
    <row r="90" spans="5:27">
      <c r="E90" s="76">
        <v>90</v>
      </c>
      <c r="F90" s="76">
        <v>310</v>
      </c>
      <c r="G90" s="76">
        <v>405</v>
      </c>
      <c r="H90" s="76">
        <v>475</v>
      </c>
      <c r="I90" s="76">
        <v>545</v>
      </c>
      <c r="J90" s="76">
        <v>625</v>
      </c>
      <c r="K90" s="76">
        <v>715</v>
      </c>
      <c r="L90" s="70">
        <v>855</v>
      </c>
      <c r="Q90" s="76">
        <v>90</v>
      </c>
      <c r="R90" s="76">
        <v>380</v>
      </c>
      <c r="S90" s="76">
        <v>415</v>
      </c>
      <c r="T90" s="76">
        <v>435</v>
      </c>
      <c r="U90" s="76">
        <v>455</v>
      </c>
      <c r="V90" s="76">
        <v>470</v>
      </c>
      <c r="W90" s="76">
        <v>485</v>
      </c>
      <c r="X90" s="70">
        <v>505</v>
      </c>
      <c r="Y90" s="57"/>
      <c r="Z90" s="57"/>
      <c r="AA90" s="57"/>
    </row>
    <row r="91" spans="5:27">
      <c r="E91" s="74">
        <v>100</v>
      </c>
      <c r="F91" s="74">
        <v>325</v>
      </c>
      <c r="G91" s="74">
        <v>425</v>
      </c>
      <c r="H91" s="74">
        <v>500</v>
      </c>
      <c r="I91" s="74">
        <v>575</v>
      </c>
      <c r="J91" s="74">
        <v>660</v>
      </c>
      <c r="K91" s="74">
        <v>755</v>
      </c>
      <c r="L91" s="82">
        <v>900</v>
      </c>
      <c r="Q91" s="74">
        <v>100</v>
      </c>
      <c r="R91" s="74">
        <v>390</v>
      </c>
      <c r="S91" s="74">
        <v>425</v>
      </c>
      <c r="T91" s="74">
        <v>445</v>
      </c>
      <c r="U91" s="74">
        <v>465</v>
      </c>
      <c r="V91" s="74">
        <v>480</v>
      </c>
      <c r="W91" s="74">
        <v>500</v>
      </c>
      <c r="X91" s="82">
        <v>520</v>
      </c>
      <c r="Y91" s="57"/>
      <c r="Z91" s="57"/>
      <c r="AA91" s="57"/>
    </row>
    <row r="92" spans="5:27">
      <c r="E92" s="76">
        <v>110</v>
      </c>
      <c r="F92" s="76">
        <v>340</v>
      </c>
      <c r="G92" s="76">
        <v>445</v>
      </c>
      <c r="H92" s="76">
        <v>525</v>
      </c>
      <c r="I92" s="76">
        <v>605</v>
      </c>
      <c r="J92" s="76">
        <v>695</v>
      </c>
      <c r="K92" s="76">
        <v>790</v>
      </c>
      <c r="L92" s="70">
        <v>945</v>
      </c>
      <c r="Q92" s="76">
        <v>110</v>
      </c>
      <c r="R92" s="76">
        <v>400</v>
      </c>
      <c r="S92" s="76">
        <v>435</v>
      </c>
      <c r="T92" s="76">
        <v>455</v>
      </c>
      <c r="U92" s="76">
        <v>475</v>
      </c>
      <c r="V92" s="76">
        <v>490</v>
      </c>
      <c r="W92" s="76">
        <v>510</v>
      </c>
      <c r="X92" s="70">
        <v>535</v>
      </c>
      <c r="Y92" s="57"/>
      <c r="Z92" s="57"/>
      <c r="AA92" s="57"/>
    </row>
    <row r="93" spans="5:27">
      <c r="E93" s="74">
        <v>120</v>
      </c>
      <c r="F93" s="74">
        <v>355</v>
      </c>
      <c r="G93" s="74">
        <v>465</v>
      </c>
      <c r="H93" s="74">
        <v>545</v>
      </c>
      <c r="I93" s="74">
        <v>630</v>
      </c>
      <c r="J93" s="74">
        <v>725</v>
      </c>
      <c r="K93" s="74">
        <v>825</v>
      </c>
      <c r="L93" s="82">
        <v>985</v>
      </c>
      <c r="Q93" s="74">
        <v>120</v>
      </c>
      <c r="R93" s="74">
        <v>410</v>
      </c>
      <c r="S93" s="74">
        <v>445</v>
      </c>
      <c r="T93" s="74">
        <v>465</v>
      </c>
      <c r="U93" s="74">
        <v>485</v>
      </c>
      <c r="V93" s="74">
        <v>500</v>
      </c>
      <c r="W93" s="74">
        <v>520</v>
      </c>
      <c r="X93" s="82">
        <v>545</v>
      </c>
      <c r="Y93" s="57"/>
      <c r="Z93" s="57"/>
      <c r="AA93" s="57"/>
    </row>
    <row r="94" spans="5:27">
      <c r="E94" s="84">
        <v>130</v>
      </c>
      <c r="F94" s="84">
        <v>370</v>
      </c>
      <c r="G94" s="84">
        <v>485</v>
      </c>
      <c r="H94" s="84">
        <v>565</v>
      </c>
      <c r="I94" s="84">
        <v>655</v>
      </c>
      <c r="J94" s="84">
        <v>755</v>
      </c>
      <c r="K94" s="84">
        <v>860</v>
      </c>
      <c r="L94" s="85">
        <v>1025</v>
      </c>
      <c r="Q94" s="84">
        <v>130</v>
      </c>
      <c r="R94" s="84">
        <v>415</v>
      </c>
      <c r="S94" s="84">
        <v>450</v>
      </c>
      <c r="T94" s="84">
        <v>470</v>
      </c>
      <c r="U94" s="84">
        <v>490</v>
      </c>
      <c r="V94" s="84">
        <v>505</v>
      </c>
      <c r="W94" s="84">
        <v>525</v>
      </c>
      <c r="X94" s="85">
        <v>550</v>
      </c>
      <c r="Y94" s="57"/>
      <c r="Z94" s="57"/>
      <c r="AA94" s="57"/>
    </row>
  </sheetData>
  <sheetProtection password="E0B2" sheet="1" objects="1" scenarios="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8</vt:i4>
      </vt:variant>
      <vt:variant>
        <vt:lpstr>Named Ranges</vt:lpstr>
      </vt:variant>
      <vt:variant>
        <vt:i4>53</vt:i4>
      </vt:variant>
    </vt:vector>
  </HeadingPairs>
  <TitlesOfParts>
    <vt:vector size="61" baseType="lpstr">
      <vt:lpstr>Narrative</vt:lpstr>
      <vt:lpstr>Calculation1</vt:lpstr>
      <vt:lpstr>Current Pivot Conditions</vt:lpstr>
      <vt:lpstr>Proposed Pivot Conditions</vt:lpstr>
      <vt:lpstr>VSD Cost Estimate</vt:lpstr>
      <vt:lpstr>Nozzle Specs</vt:lpstr>
      <vt:lpstr>Sprinkler Specs</vt:lpstr>
      <vt:lpstr>Endgun Specs</vt:lpstr>
      <vt:lpstr>Data_A3000</vt:lpstr>
      <vt:lpstr>Data_D3000</vt:lpstr>
      <vt:lpstr>Data_N3000</vt:lpstr>
      <vt:lpstr>Data_R3000</vt:lpstr>
      <vt:lpstr>Data_S3000</vt:lpstr>
      <vt:lpstr>Endgun_Nelson</vt:lpstr>
      <vt:lpstr>Flow_3TN</vt:lpstr>
      <vt:lpstr>Flow_SR100R</vt:lpstr>
      <vt:lpstr>Flow_SR100T</vt:lpstr>
      <vt:lpstr>Flow_SR100TR</vt:lpstr>
      <vt:lpstr>Flow_SR150R</vt:lpstr>
      <vt:lpstr>Flow_SR150T</vt:lpstr>
      <vt:lpstr>Flow_SR150TR</vt:lpstr>
      <vt:lpstr>Flow_SR200R</vt:lpstr>
      <vt:lpstr>Flow_SR200T</vt:lpstr>
      <vt:lpstr>Flow_SR75</vt:lpstr>
      <vt:lpstr>Manufacturer_Endgun</vt:lpstr>
      <vt:lpstr>Manufacturer_Nozzle</vt:lpstr>
      <vt:lpstr>Manufacturer_Sprinkler</vt:lpstr>
      <vt:lpstr>Nozzle_3TN</vt:lpstr>
      <vt:lpstr>Nozzle_Nelson</vt:lpstr>
      <vt:lpstr>Nozzle_SR100R</vt:lpstr>
      <vt:lpstr>Nozzle_SR100T</vt:lpstr>
      <vt:lpstr>Nozzle_SR100TR</vt:lpstr>
      <vt:lpstr>Nozzle_SR150R</vt:lpstr>
      <vt:lpstr>Nozzle_SR150T</vt:lpstr>
      <vt:lpstr>Nozzle_SR200R</vt:lpstr>
      <vt:lpstr>Nozzle_SR200T</vt:lpstr>
      <vt:lpstr>Nozzle_SR75</vt:lpstr>
      <vt:lpstr>Pressure_3TN</vt:lpstr>
      <vt:lpstr>Pressure_SR100R</vt:lpstr>
      <vt:lpstr>Pressure_SR100T</vt:lpstr>
      <vt:lpstr>Pressure_SR100TR</vt:lpstr>
      <vt:lpstr>Pressure_SR150R</vt:lpstr>
      <vt:lpstr>Pressure_SR150T</vt:lpstr>
      <vt:lpstr>Pressure_SR150TR</vt:lpstr>
      <vt:lpstr>Pressure_SR200R</vt:lpstr>
      <vt:lpstr>Pressure_SR200T</vt:lpstr>
      <vt:lpstr>Pressure_SR75</vt:lpstr>
      <vt:lpstr>Calculation1!Print_Area</vt:lpstr>
      <vt:lpstr>'Current Pivot Conditions'!Print_Area</vt:lpstr>
      <vt:lpstr>Narrative!Print_Area</vt:lpstr>
      <vt:lpstr>'Proposed Pivot Conditions'!Print_Area</vt:lpstr>
      <vt:lpstr>Range_SR100R</vt:lpstr>
      <vt:lpstr>Range_SR100T</vt:lpstr>
      <vt:lpstr>Range_SR100TR</vt:lpstr>
      <vt:lpstr>Range_SR150R</vt:lpstr>
      <vt:lpstr>Range_SR150T</vt:lpstr>
      <vt:lpstr>Range_SR150TR</vt:lpstr>
      <vt:lpstr>Range_SR200R</vt:lpstr>
      <vt:lpstr>Range_SR200T</vt:lpstr>
      <vt:lpstr>Range_SR75</vt:lpstr>
      <vt:lpstr>Sprinkler_Nelson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Mikhail</dc:creator>
  <cp:lastModifiedBy>Windows User</cp:lastModifiedBy>
  <cp:lastPrinted>2010-11-11T21:34:30Z</cp:lastPrinted>
  <dcterms:created xsi:type="dcterms:W3CDTF">2009-11-10T21:29:30Z</dcterms:created>
  <dcterms:modified xsi:type="dcterms:W3CDTF">2010-11-11T21:34:56Z</dcterms:modified>
</cp:coreProperties>
</file>