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tables/table5.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Z:\Windows.Documents\Desktop\"/>
    </mc:Choice>
  </mc:AlternateContent>
  <bookViews>
    <workbookView xWindow="0" yWindow="0" windowWidth="28800" windowHeight="12135" tabRatio="717" activeTab="3"/>
  </bookViews>
  <sheets>
    <sheet name="Report Data Export" sheetId="4" r:id="rId1"/>
    <sheet name="Narrative" sheetId="3" r:id="rId2"/>
    <sheet name="Calculation" sheetId="2" r:id="rId3"/>
    <sheet name="Summary" sheetId="5" r:id="rId4"/>
    <sheet name="(1)" sheetId="7" r:id="rId5"/>
    <sheet name="Equation Sheet" sheetId="12" r:id="rId6"/>
    <sheet name="Fixture Data" sheetId="8" r:id="rId7"/>
    <sheet name="OF &amp; Luminous Efficiency Charts" sheetId="11" r:id="rId8"/>
  </sheets>
  <externalReferences>
    <externalReference r:id="rId9"/>
  </externalReferences>
  <definedNames>
    <definedName name="_xlnm.Print_Area" localSheetId="4">'(1)'!$A$1:$F$92</definedName>
    <definedName name="_xlnm.Print_Area" localSheetId="2">Calculation!$A$1:$G$44</definedName>
    <definedName name="_xlnm.Print_Area" localSheetId="5">'Equation Sheet'!$A$1:$F$46</definedName>
    <definedName name="_xlnm.Print_Area" localSheetId="1">Narrative!$A$1:$AF$90</definedName>
    <definedName name="_xlnm.Print_Area" localSheetId="3">Summary!$A$1:$R$45</definedName>
    <definedName name="_xlnm.Print_Titles" localSheetId="4">'(1)'!$1:$2</definedName>
    <definedName name="_xlnm.Print_Titles" localSheetId="2">Calculation!$1:$2</definedName>
    <definedName name="_xlnm.Print_Titles" localSheetId="5">'Equation Sheet'!#REF!</definedName>
    <definedName name="_xlnm.Print_Titles" localSheetId="1">Narrative!$1:$2</definedName>
    <definedName name="_xlnm.Print_Titles" localSheetId="3">Summary!$1:$2</definedName>
  </definedNames>
  <calcPr calcId="152511"/>
</workbook>
</file>

<file path=xl/calcChain.xml><?xml version="1.0" encoding="utf-8"?>
<calcChain xmlns="http://schemas.openxmlformats.org/spreadsheetml/2006/main">
  <c r="E18" i="7" l="1"/>
  <c r="B49" i="12"/>
  <c r="A2" i="12"/>
  <c r="A1" i="12"/>
  <c r="D5" i="11" l="1"/>
  <c r="D6" i="11"/>
  <c r="D7" i="11"/>
  <c r="D8" i="11"/>
  <c r="D9" i="11"/>
  <c r="D10" i="11"/>
  <c r="D11" i="11"/>
  <c r="D12" i="11"/>
  <c r="D13" i="11"/>
  <c r="D14" i="11"/>
  <c r="D15" i="11"/>
  <c r="D4" i="11"/>
  <c r="A2" i="7" l="1"/>
  <c r="J2" i="5"/>
  <c r="A2" i="5"/>
  <c r="A2" i="2"/>
  <c r="E16" i="7" l="1"/>
  <c r="B49" i="2" l="1"/>
  <c r="A1" i="7" l="1"/>
  <c r="A47" i="7" s="1"/>
  <c r="A1" i="5" l="1"/>
  <c r="J1" i="5" s="1"/>
  <c r="A1" i="3"/>
  <c r="A1" i="2"/>
  <c r="S3" i="4"/>
  <c r="R3" i="4"/>
  <c r="P3" i="4"/>
  <c r="O3" i="4"/>
  <c r="L3" i="4"/>
  <c r="I3" i="4"/>
  <c r="H3" i="4"/>
  <c r="B25" i="5"/>
  <c r="B12" i="5"/>
  <c r="B8" i="5"/>
  <c r="B19" i="5"/>
  <c r="B10" i="5"/>
  <c r="B17" i="5"/>
  <c r="B21" i="5"/>
  <c r="B15" i="5"/>
  <c r="B20" i="5"/>
  <c r="B13" i="5"/>
  <c r="B7" i="5"/>
  <c r="B24" i="5"/>
  <c r="B18" i="5"/>
  <c r="B29" i="5"/>
  <c r="B26" i="5"/>
  <c r="B23" i="5"/>
  <c r="B16" i="5"/>
  <c r="B14" i="5"/>
  <c r="B28" i="5"/>
  <c r="B9" i="5"/>
  <c r="B22" i="5"/>
  <c r="B27" i="5"/>
  <c r="B11" i="5"/>
  <c r="I14" i="5" l="1"/>
  <c r="I16" i="5"/>
  <c r="I29" i="5"/>
  <c r="I15" i="5"/>
  <c r="I11" i="5"/>
  <c r="I22" i="5"/>
  <c r="I8" i="5"/>
  <c r="I12" i="5"/>
  <c r="I23" i="5"/>
  <c r="I18" i="5"/>
  <c r="I13" i="5"/>
  <c r="I21" i="5"/>
  <c r="I27" i="5"/>
  <c r="I19" i="5"/>
  <c r="I28" i="5"/>
  <c r="I25" i="5"/>
  <c r="I26" i="5"/>
  <c r="I24" i="5"/>
  <c r="I20" i="5"/>
  <c r="I17" i="5"/>
  <c r="I10" i="5"/>
  <c r="I9" i="5"/>
  <c r="H14" i="5"/>
  <c r="H16" i="5"/>
  <c r="H29" i="5"/>
  <c r="H15" i="5"/>
  <c r="H11" i="5"/>
  <c r="H22" i="5"/>
  <c r="H8" i="5"/>
  <c r="H12" i="5"/>
  <c r="H23" i="5"/>
  <c r="H18" i="5"/>
  <c r="H13" i="5"/>
  <c r="H21" i="5"/>
  <c r="H27" i="5"/>
  <c r="H19" i="5"/>
  <c r="H28" i="5"/>
  <c r="H25" i="5"/>
  <c r="H26" i="5"/>
  <c r="H24" i="5"/>
  <c r="H20" i="5"/>
  <c r="H17" i="5"/>
  <c r="H10" i="5"/>
  <c r="H9" i="5"/>
  <c r="G14" i="5"/>
  <c r="G16" i="5"/>
  <c r="G29" i="5"/>
  <c r="G15" i="5"/>
  <c r="G11" i="5"/>
  <c r="G22" i="5"/>
  <c r="G8" i="5"/>
  <c r="G12" i="5"/>
  <c r="G23" i="5"/>
  <c r="G18" i="5"/>
  <c r="G13" i="5"/>
  <c r="G21" i="5"/>
  <c r="G27" i="5"/>
  <c r="G19" i="5"/>
  <c r="G28" i="5"/>
  <c r="G25" i="5"/>
  <c r="G26" i="5"/>
  <c r="G24" i="5"/>
  <c r="G20" i="5"/>
  <c r="G17" i="5"/>
  <c r="G10" i="5"/>
  <c r="G9" i="5"/>
  <c r="F14" i="5"/>
  <c r="F16" i="5"/>
  <c r="F29" i="5"/>
  <c r="F15" i="5"/>
  <c r="F11" i="5"/>
  <c r="F22" i="5"/>
  <c r="F8" i="5"/>
  <c r="F12" i="5"/>
  <c r="F23" i="5"/>
  <c r="F18" i="5"/>
  <c r="F13" i="5"/>
  <c r="F21" i="5"/>
  <c r="F27" i="5"/>
  <c r="F19" i="5"/>
  <c r="F28" i="5"/>
  <c r="F25" i="5"/>
  <c r="F26" i="5"/>
  <c r="F24" i="5"/>
  <c r="F20" i="5"/>
  <c r="F17" i="5"/>
  <c r="F10" i="5"/>
  <c r="F9" i="5"/>
  <c r="E14" i="5"/>
  <c r="E16" i="5"/>
  <c r="E29" i="5"/>
  <c r="E15" i="5"/>
  <c r="E11" i="5"/>
  <c r="E22" i="5"/>
  <c r="E8" i="5"/>
  <c r="E12" i="5"/>
  <c r="E23" i="5"/>
  <c r="E18" i="5"/>
  <c r="E13" i="5"/>
  <c r="E21" i="5"/>
  <c r="E27" i="5"/>
  <c r="E19" i="5"/>
  <c r="E28" i="5"/>
  <c r="E25" i="5"/>
  <c r="E26" i="5"/>
  <c r="E24" i="5"/>
  <c r="E20" i="5"/>
  <c r="E17" i="5"/>
  <c r="E10" i="5"/>
  <c r="E9" i="5"/>
  <c r="D14" i="5"/>
  <c r="D16" i="5"/>
  <c r="D29" i="5"/>
  <c r="D15" i="5"/>
  <c r="D11" i="5"/>
  <c r="D22" i="5"/>
  <c r="D8" i="5"/>
  <c r="D12" i="5"/>
  <c r="D23" i="5"/>
  <c r="D18" i="5"/>
  <c r="D13" i="5"/>
  <c r="D21" i="5"/>
  <c r="D27" i="5"/>
  <c r="D19" i="5"/>
  <c r="D28" i="5"/>
  <c r="D25" i="5"/>
  <c r="D26" i="5"/>
  <c r="D24" i="5"/>
  <c r="D20" i="5"/>
  <c r="D17" i="5"/>
  <c r="D10" i="5"/>
  <c r="D9" i="5"/>
  <c r="C14" i="5"/>
  <c r="C16" i="5"/>
  <c r="C29" i="5"/>
  <c r="C15" i="5"/>
  <c r="C11" i="5"/>
  <c r="C22" i="5"/>
  <c r="C8" i="5"/>
  <c r="C12" i="5"/>
  <c r="C23" i="5"/>
  <c r="C18" i="5"/>
  <c r="C13" i="5"/>
  <c r="C21" i="5"/>
  <c r="C27" i="5"/>
  <c r="C19" i="5"/>
  <c r="C28" i="5"/>
  <c r="C25" i="5"/>
  <c r="C26" i="5"/>
  <c r="C24" i="5"/>
  <c r="C20" i="5"/>
  <c r="C17" i="5"/>
  <c r="C10" i="5"/>
  <c r="C9" i="5"/>
  <c r="E11" i="3"/>
  <c r="E10" i="3"/>
  <c r="K7" i="5"/>
  <c r="K23" i="5"/>
  <c r="K10" i="5"/>
  <c r="K17" i="5"/>
  <c r="K12" i="5"/>
  <c r="C7" i="5"/>
  <c r="K8" i="5"/>
  <c r="K27" i="5"/>
  <c r="E7" i="5"/>
  <c r="K9" i="5"/>
  <c r="D7" i="5"/>
  <c r="K13" i="5"/>
  <c r="K29" i="5"/>
  <c r="K11" i="5"/>
  <c r="R23" i="5" l="1"/>
  <c r="R17" i="5"/>
  <c r="R12" i="5"/>
  <c r="R9" i="5"/>
  <c r="R10" i="5"/>
  <c r="R8" i="5"/>
  <c r="R27" i="5"/>
  <c r="R11" i="5"/>
  <c r="R29" i="5"/>
  <c r="R13" i="5"/>
  <c r="Q23" i="5"/>
  <c r="Q17" i="5"/>
  <c r="Q12" i="5"/>
  <c r="Q9" i="5"/>
  <c r="Q10" i="5"/>
  <c r="Q8" i="5"/>
  <c r="Q27" i="5"/>
  <c r="Q11" i="5"/>
  <c r="Q29" i="5"/>
  <c r="Q13" i="5"/>
  <c r="P23" i="5"/>
  <c r="P17" i="5"/>
  <c r="P12" i="5"/>
  <c r="P9" i="5"/>
  <c r="P10" i="5"/>
  <c r="P8" i="5"/>
  <c r="P27" i="5"/>
  <c r="P11" i="5"/>
  <c r="P29" i="5"/>
  <c r="P13" i="5"/>
  <c r="O23" i="5"/>
  <c r="O17" i="5"/>
  <c r="O12" i="5"/>
  <c r="O9" i="5"/>
  <c r="O10" i="5"/>
  <c r="O8" i="5"/>
  <c r="O27" i="5"/>
  <c r="O11" i="5"/>
  <c r="O29" i="5"/>
  <c r="O13" i="5"/>
  <c r="L27" i="5"/>
  <c r="L23" i="5"/>
  <c r="L11" i="5"/>
  <c r="L10" i="5"/>
  <c r="L29" i="5"/>
  <c r="L17" i="5"/>
  <c r="L13" i="5"/>
  <c r="L9" i="5"/>
  <c r="L12" i="5"/>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L8" i="5"/>
  <c r="K21" i="5"/>
  <c r="K22" i="5"/>
  <c r="K26" i="5"/>
  <c r="K16" i="5"/>
  <c r="K24" i="5"/>
  <c r="K14" i="5"/>
  <c r="K20" i="5"/>
  <c r="K28" i="5"/>
  <c r="K25" i="5"/>
  <c r="K19" i="5"/>
  <c r="K15" i="5"/>
  <c r="L7" i="5"/>
  <c r="K18" i="5"/>
  <c r="R24" i="5" l="1"/>
  <c r="R19" i="5"/>
  <c r="R18" i="5"/>
  <c r="R20" i="5"/>
  <c r="R28" i="5"/>
  <c r="R16" i="5"/>
  <c r="R14" i="5"/>
  <c r="R21" i="5"/>
  <c r="R22" i="5"/>
  <c r="R15" i="5"/>
  <c r="R25" i="5"/>
  <c r="R26" i="5"/>
  <c r="Q24" i="5"/>
  <c r="Q19" i="5"/>
  <c r="Q18" i="5"/>
  <c r="Q20" i="5"/>
  <c r="Q28" i="5"/>
  <c r="Q16" i="5"/>
  <c r="Q14" i="5"/>
  <c r="Q21" i="5"/>
  <c r="Q22" i="5"/>
  <c r="Q15" i="5"/>
  <c r="Q25" i="5"/>
  <c r="Q26" i="5"/>
  <c r="P24" i="5"/>
  <c r="P19" i="5"/>
  <c r="P18" i="5"/>
  <c r="P20" i="5"/>
  <c r="P28" i="5"/>
  <c r="P16" i="5"/>
  <c r="P14" i="5"/>
  <c r="P21" i="5"/>
  <c r="P22" i="5"/>
  <c r="P15" i="5"/>
  <c r="P25" i="5"/>
  <c r="P26" i="5"/>
  <c r="O24" i="5"/>
  <c r="O19" i="5"/>
  <c r="O18" i="5"/>
  <c r="O20" i="5"/>
  <c r="O28" i="5"/>
  <c r="O16" i="5"/>
  <c r="O14" i="5"/>
  <c r="O21" i="5"/>
  <c r="O22" i="5"/>
  <c r="O15" i="5"/>
  <c r="O25" i="5"/>
  <c r="O26" i="5"/>
  <c r="L28" i="5"/>
  <c r="L15" i="5"/>
  <c r="L21" i="5"/>
  <c r="L24" i="5"/>
  <c r="L26" i="5"/>
  <c r="L19" i="5"/>
  <c r="L18" i="5"/>
  <c r="L16" i="5"/>
  <c r="L25" i="5"/>
  <c r="L22" i="5"/>
  <c r="L14" i="5"/>
  <c r="L20" i="5"/>
  <c r="R66" i="8"/>
  <c r="R67" i="8" s="1"/>
  <c r="R58" i="8"/>
  <c r="R57" i="8"/>
  <c r="R56" i="8"/>
  <c r="R55" i="8"/>
  <c r="R54" i="8"/>
  <c r="R53" i="8"/>
  <c r="R52" i="8"/>
  <c r="N114" i="8" l="1"/>
  <c r="N113" i="8"/>
  <c r="N112" i="8"/>
  <c r="J111" i="8" l="1"/>
  <c r="H111" i="8"/>
  <c r="J110" i="8"/>
  <c r="H110" i="8"/>
  <c r="J109" i="8"/>
  <c r="N109" i="8" s="1"/>
  <c r="H109" i="8"/>
  <c r="J108" i="8"/>
  <c r="N108" i="8" s="1"/>
  <c r="H108" i="8"/>
  <c r="J107" i="8"/>
  <c r="H107" i="8"/>
  <c r="J106" i="8"/>
  <c r="H106" i="8"/>
  <c r="J105" i="8"/>
  <c r="H105" i="8"/>
  <c r="J104" i="8"/>
  <c r="N104" i="8" s="1"/>
  <c r="H104" i="8"/>
  <c r="J103" i="8"/>
  <c r="H103" i="8"/>
  <c r="J102" i="8"/>
  <c r="H102" i="8"/>
  <c r="J101" i="8"/>
  <c r="N101" i="8" s="1"/>
  <c r="H101" i="8"/>
  <c r="J100" i="8"/>
  <c r="N100" i="8" s="1"/>
  <c r="H100" i="8"/>
  <c r="J99" i="8"/>
  <c r="H99" i="8"/>
  <c r="J98" i="8"/>
  <c r="H98" i="8"/>
  <c r="J97" i="8"/>
  <c r="H97" i="8"/>
  <c r="J96" i="8"/>
  <c r="N96" i="8" s="1"/>
  <c r="H96" i="8"/>
  <c r="J95" i="8"/>
  <c r="H95" i="8"/>
  <c r="J94" i="8"/>
  <c r="H94" i="8"/>
  <c r="J93" i="8"/>
  <c r="N93" i="8" s="1"/>
  <c r="H93" i="8"/>
  <c r="J92" i="8"/>
  <c r="N92" i="8" s="1"/>
  <c r="H92" i="8"/>
  <c r="J91" i="8"/>
  <c r="H91" i="8"/>
  <c r="J90" i="8"/>
  <c r="H90" i="8"/>
  <c r="J89" i="8"/>
  <c r="N89" i="8" s="1"/>
  <c r="H89" i="8"/>
  <c r="J88" i="8"/>
  <c r="N88" i="8" s="1"/>
  <c r="H88" i="8"/>
  <c r="J87" i="8"/>
  <c r="H87" i="8"/>
  <c r="J86" i="8"/>
  <c r="H86" i="8"/>
  <c r="J85" i="8"/>
  <c r="N85" i="8" s="1"/>
  <c r="H85" i="8"/>
  <c r="K108" i="8" l="1"/>
  <c r="K104" i="8"/>
  <c r="K109" i="8"/>
  <c r="K89" i="8"/>
  <c r="K86" i="8"/>
  <c r="N86" i="8"/>
  <c r="K94" i="8"/>
  <c r="N94" i="8"/>
  <c r="K106" i="8"/>
  <c r="N106" i="8"/>
  <c r="K111" i="8"/>
  <c r="N111" i="8"/>
  <c r="K91" i="8"/>
  <c r="N91" i="8"/>
  <c r="K96" i="8"/>
  <c r="K98" i="8"/>
  <c r="N98" i="8"/>
  <c r="K103" i="8"/>
  <c r="N103" i="8"/>
  <c r="K85" i="8"/>
  <c r="K90" i="8"/>
  <c r="N90" i="8"/>
  <c r="K95" i="8"/>
  <c r="N95" i="8"/>
  <c r="K105" i="8"/>
  <c r="N105" i="8"/>
  <c r="K107" i="8"/>
  <c r="N107" i="8"/>
  <c r="K110" i="8"/>
  <c r="N110" i="8"/>
  <c r="K88" i="8"/>
  <c r="K101" i="8"/>
  <c r="K87" i="8"/>
  <c r="N87" i="8"/>
  <c r="K93" i="8"/>
  <c r="K100" i="8"/>
  <c r="K92" i="8"/>
  <c r="K97" i="8"/>
  <c r="N97" i="8"/>
  <c r="K99" i="8"/>
  <c r="N99" i="8"/>
  <c r="K102" i="8"/>
  <c r="N102" i="8"/>
  <c r="S7" i="5" l="1"/>
  <c r="E17" i="7"/>
  <c r="E15" i="7"/>
  <c r="S28" i="5" l="1"/>
  <c r="S10" i="5"/>
  <c r="S19" i="5"/>
  <c r="S27" i="5"/>
  <c r="S23" i="5"/>
  <c r="S15" i="5"/>
  <c r="S16" i="5"/>
  <c r="S12" i="5"/>
  <c r="S8" i="5"/>
  <c r="S9" i="5"/>
  <c r="S22" i="5"/>
  <c r="S14" i="5"/>
  <c r="S20" i="5"/>
  <c r="S24" i="5"/>
  <c r="S11" i="5"/>
  <c r="S18" i="5"/>
  <c r="S13" i="5"/>
  <c r="S25" i="5"/>
  <c r="S21" i="5"/>
  <c r="S26" i="5"/>
  <c r="S29" i="5"/>
  <c r="S17" i="5"/>
  <c r="J30" i="5" l="1"/>
  <c r="J31" i="5" s="1"/>
  <c r="J32" i="5" s="1"/>
  <c r="J33" i="5" s="1"/>
  <c r="J34" i="5" s="1"/>
  <c r="J35" i="5" s="1"/>
  <c r="J36" i="5" s="1"/>
  <c r="A30" i="5" l="1"/>
  <c r="N84" i="8"/>
  <c r="N83" i="8"/>
  <c r="N82" i="8"/>
  <c r="N81" i="8"/>
  <c r="N80" i="8"/>
  <c r="N79" i="8"/>
  <c r="N78" i="8"/>
  <c r="K78" i="8"/>
  <c r="N77" i="8"/>
  <c r="K77" i="8"/>
  <c r="N76" i="8"/>
  <c r="K76" i="8"/>
  <c r="N75" i="8"/>
  <c r="K75" i="8"/>
  <c r="N74" i="8"/>
  <c r="K74" i="8"/>
  <c r="N73" i="8"/>
  <c r="K73" i="8"/>
  <c r="N72" i="8"/>
  <c r="K72" i="8"/>
  <c r="N71" i="8"/>
  <c r="K71" i="8"/>
  <c r="N70" i="8"/>
  <c r="K70" i="8"/>
  <c r="N69" i="8"/>
  <c r="K69" i="8"/>
  <c r="N68" i="8"/>
  <c r="K68" i="8"/>
  <c r="N67" i="8"/>
  <c r="K67" i="8"/>
  <c r="N66" i="8"/>
  <c r="K66" i="8"/>
  <c r="N65" i="8"/>
  <c r="K65" i="8"/>
  <c r="N64" i="8"/>
  <c r="K64" i="8"/>
  <c r="N63" i="8"/>
  <c r="K63" i="8"/>
  <c r="N62" i="8"/>
  <c r="K62" i="8"/>
  <c r="N61" i="8"/>
  <c r="K61" i="8"/>
  <c r="N60" i="8"/>
  <c r="K60" i="8"/>
  <c r="N59" i="8"/>
  <c r="K59" i="8"/>
  <c r="N58" i="8"/>
  <c r="N57" i="8"/>
  <c r="O56"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5" i="8"/>
  <c r="N4" i="8"/>
  <c r="N3" i="8"/>
  <c r="N2" i="8"/>
  <c r="B30" i="5"/>
  <c r="K30" i="5"/>
  <c r="I30" i="5" l="1"/>
  <c r="H30" i="5"/>
  <c r="G30" i="5"/>
  <c r="F30" i="5"/>
  <c r="E30" i="5"/>
  <c r="D30" i="5"/>
  <c r="C30" i="5"/>
  <c r="R30" i="5"/>
  <c r="Q30" i="5"/>
  <c r="P30" i="5"/>
  <c r="O30" i="5"/>
  <c r="L30" i="5"/>
  <c r="C22" i="7"/>
  <c r="D22" i="7"/>
  <c r="D26" i="7" s="1"/>
  <c r="D25" i="7"/>
  <c r="D33" i="7"/>
  <c r="C34" i="7"/>
  <c r="D23" i="7"/>
  <c r="D62" i="7"/>
  <c r="D34" i="7"/>
  <c r="C33" i="7"/>
  <c r="C25" i="7"/>
  <c r="C14" i="7"/>
  <c r="D30" i="7"/>
  <c r="D35" i="7"/>
  <c r="D40" i="7" s="1"/>
  <c r="D55" i="7" s="1"/>
  <c r="C32" i="7"/>
  <c r="C24" i="7"/>
  <c r="D20" i="7"/>
  <c r="D21" i="7" s="1"/>
  <c r="D14" i="7"/>
  <c r="D32" i="7"/>
  <c r="C35" i="7"/>
  <c r="C40" i="7" s="1"/>
  <c r="C55" i="7" s="1"/>
  <c r="C30" i="7"/>
  <c r="D24" i="7"/>
  <c r="C23" i="7"/>
  <c r="C20" i="7"/>
  <c r="S30" i="5"/>
  <c r="A31" i="5"/>
  <c r="B31" i="5"/>
  <c r="K31" i="5"/>
  <c r="I31" i="5" l="1"/>
  <c r="H31" i="5"/>
  <c r="G31" i="5"/>
  <c r="F31" i="5"/>
  <c r="E31" i="5"/>
  <c r="D31" i="5"/>
  <c r="C31" i="5"/>
  <c r="R31" i="5"/>
  <c r="Q31" i="5"/>
  <c r="P31" i="5"/>
  <c r="O31" i="5"/>
  <c r="C26" i="7"/>
  <c r="E26" i="7" s="1"/>
  <c r="E22" i="7"/>
  <c r="D51" i="7"/>
  <c r="D65" i="7"/>
  <c r="E20" i="7"/>
  <c r="L31" i="5"/>
  <c r="E23" i="7"/>
  <c r="E25" i="7"/>
  <c r="C36" i="7"/>
  <c r="E30" i="7"/>
  <c r="C31" i="7"/>
  <c r="D27" i="7"/>
  <c r="D28" i="7"/>
  <c r="D31" i="7"/>
  <c r="D36" i="7"/>
  <c r="E35" i="7"/>
  <c r="E24" i="7"/>
  <c r="C21" i="7"/>
  <c r="E32" i="7"/>
  <c r="E33" i="7"/>
  <c r="E34" i="7"/>
  <c r="S31" i="5"/>
  <c r="A32" i="5"/>
  <c r="K32" i="5"/>
  <c r="B32" i="5"/>
  <c r="I32" i="5" l="1"/>
  <c r="H32" i="5"/>
  <c r="G32" i="5"/>
  <c r="F32" i="5"/>
  <c r="E32" i="5"/>
  <c r="D32" i="5"/>
  <c r="C32" i="5"/>
  <c r="R32" i="5"/>
  <c r="Q32" i="5"/>
  <c r="P32" i="5"/>
  <c r="O32" i="5"/>
  <c r="D41" i="7"/>
  <c r="D56" i="7" s="1"/>
  <c r="D66" i="7"/>
  <c r="C51" i="7"/>
  <c r="L32" i="5"/>
  <c r="D38" i="7"/>
  <c r="D58" i="7" s="1"/>
  <c r="D53" i="7"/>
  <c r="E31" i="7"/>
  <c r="C37" i="7"/>
  <c r="C38" i="7"/>
  <c r="C28" i="7"/>
  <c r="E21" i="7"/>
  <c r="E40" i="7"/>
  <c r="C41" i="7"/>
  <c r="C56" i="7" s="1"/>
  <c r="E36" i="7"/>
  <c r="D37" i="7"/>
  <c r="D57" i="7" s="1"/>
  <c r="S32" i="5"/>
  <c r="A33" i="5"/>
  <c r="K33" i="5"/>
  <c r="B33" i="5"/>
  <c r="O7" i="5"/>
  <c r="I33" i="5" l="1"/>
  <c r="H33" i="5"/>
  <c r="G33" i="5"/>
  <c r="F33" i="5"/>
  <c r="E33" i="5"/>
  <c r="D33" i="5"/>
  <c r="C33" i="5"/>
  <c r="R33" i="5"/>
  <c r="Q33" i="5"/>
  <c r="P33" i="5"/>
  <c r="O33" i="5"/>
  <c r="C53" i="7"/>
  <c r="E53" i="7" s="1"/>
  <c r="D52" i="7"/>
  <c r="E52" i="7" s="1"/>
  <c r="L33" i="5"/>
  <c r="D67" i="7"/>
  <c r="E38" i="7"/>
  <c r="E55" i="7"/>
  <c r="D59" i="7"/>
  <c r="E41" i="7"/>
  <c r="E51" i="7"/>
  <c r="E37" i="7"/>
  <c r="E28" i="7"/>
  <c r="C58" i="7"/>
  <c r="E58" i="7" s="1"/>
  <c r="S33" i="5"/>
  <c r="A34" i="5"/>
  <c r="P7" i="5"/>
  <c r="B34" i="5"/>
  <c r="K34" i="5"/>
  <c r="I34" i="5" l="1"/>
  <c r="H34" i="5"/>
  <c r="G34" i="5"/>
  <c r="F34" i="5"/>
  <c r="E34" i="5"/>
  <c r="D34" i="5"/>
  <c r="C34" i="5"/>
  <c r="R34" i="5"/>
  <c r="Q34" i="5"/>
  <c r="P34" i="5"/>
  <c r="O34" i="5"/>
  <c r="L34" i="5"/>
  <c r="E56" i="7"/>
  <c r="S34" i="5"/>
  <c r="A35" i="5"/>
  <c r="AW11" i="3"/>
  <c r="AW12" i="3"/>
  <c r="AW13" i="3"/>
  <c r="AW10" i="3"/>
  <c r="B35" i="5"/>
  <c r="K35" i="5"/>
  <c r="I35" i="5" l="1"/>
  <c r="H35" i="5"/>
  <c r="G35" i="5"/>
  <c r="F35" i="5"/>
  <c r="E35" i="5"/>
  <c r="D35" i="5"/>
  <c r="C35" i="5"/>
  <c r="R35" i="5"/>
  <c r="Q35" i="5"/>
  <c r="P35" i="5"/>
  <c r="O35" i="5"/>
  <c r="S10" i="3"/>
  <c r="S11" i="3"/>
  <c r="L35" i="5"/>
  <c r="S35" i="5"/>
  <c r="A36" i="5"/>
  <c r="K36" i="5"/>
  <c r="R36" i="5" l="1"/>
  <c r="Q36" i="5"/>
  <c r="P36" i="5"/>
  <c r="O36" i="5"/>
  <c r="O37" i="5" s="1"/>
  <c r="L36" i="5"/>
  <c r="C27" i="7"/>
  <c r="B36" i="5"/>
  <c r="H36" i="5" l="1"/>
  <c r="G36" i="5"/>
  <c r="F36" i="5"/>
  <c r="E36" i="5"/>
  <c r="E37" i="5" s="1"/>
  <c r="C10" i="2" s="1"/>
  <c r="AR11" i="3" s="1"/>
  <c r="M3" i="4" s="1"/>
  <c r="D36" i="5"/>
  <c r="C36" i="5"/>
  <c r="C37" i="5" s="1"/>
  <c r="C8" i="2" s="1"/>
  <c r="AR10" i="3" s="1"/>
  <c r="B5" i="3" s="1"/>
  <c r="G3" i="4" s="1"/>
  <c r="I36" i="5"/>
  <c r="S36" i="5"/>
  <c r="E27" i="7"/>
  <c r="C57" i="7"/>
  <c r="N10" i="3" l="1"/>
  <c r="N14" i="3" s="1"/>
  <c r="N11" i="3"/>
  <c r="J3" i="4"/>
  <c r="C59" i="7"/>
  <c r="D68" i="7" s="1"/>
  <c r="E57" i="7"/>
  <c r="F7" i="5"/>
  <c r="Q7" i="5"/>
  <c r="F37" i="5" l="1"/>
  <c r="C11" i="2" s="1"/>
  <c r="BB11" i="3" s="1"/>
  <c r="P37" i="5"/>
  <c r="D37" i="5"/>
  <c r="C9" i="2" s="1"/>
  <c r="BB10" i="3" s="1"/>
  <c r="K3" i="4" s="1"/>
  <c r="D69" i="7"/>
  <c r="E59" i="7"/>
  <c r="I7" i="5"/>
  <c r="H7" i="5"/>
  <c r="G7" i="5"/>
  <c r="R7" i="5"/>
  <c r="G37" i="5" l="1"/>
  <c r="C12" i="2" s="1"/>
  <c r="BB12" i="3" s="1"/>
  <c r="X12" i="3" s="1"/>
  <c r="Q37" i="5"/>
  <c r="C25" i="2" s="1"/>
  <c r="S18" i="3" s="1"/>
  <c r="U3" i="4" s="1"/>
  <c r="N3" i="4"/>
  <c r="X11" i="3"/>
  <c r="X10" i="3"/>
  <c r="H37" i="5"/>
  <c r="C13" i="2" s="1"/>
  <c r="BB13" i="3" s="1"/>
  <c r="T3" i="4" s="1"/>
  <c r="I37" i="5"/>
  <c r="R37" i="5" l="1"/>
  <c r="C26" i="2" s="1"/>
  <c r="X18" i="3" s="1"/>
  <c r="Q3" i="4"/>
  <c r="X13" i="3"/>
  <c r="X14" i="3" s="1"/>
  <c r="C24" i="2"/>
  <c r="BB14" i="3" s="1"/>
  <c r="B49" i="3" l="1"/>
</calcChain>
</file>

<file path=xl/sharedStrings.xml><?xml version="1.0" encoding="utf-8"?>
<sst xmlns="http://schemas.openxmlformats.org/spreadsheetml/2006/main" count="858" uniqueCount="518">
  <si>
    <t>Recommendation</t>
  </si>
  <si>
    <t>The facility currently uses (stuff here). During the site assessment, plant personnel informed us that (stuff here). They also informed us that (stuff here). Motor information was collected for each system and is summarized in the following Motor Data Collection pages.  (Something like this to provide facility specific information, keep all facility specific information here and general system information that applies to all facilities below.)</t>
  </si>
  <si>
    <t>Facility Background</t>
  </si>
  <si>
    <t>Use our stock technology descriptions here that describe how the system works and how energy would be saved.</t>
  </si>
  <si>
    <t>Technology Background</t>
  </si>
  <si>
    <t>Proposal</t>
  </si>
  <si>
    <t>Source</t>
  </si>
  <si>
    <t>Quantity</t>
  </si>
  <si>
    <t>Units</t>
  </si>
  <si>
    <t>Cost Savings</t>
  </si>
  <si>
    <t>Total</t>
  </si>
  <si>
    <t>Based on</t>
  </si>
  <si>
    <t>Author</t>
  </si>
  <si>
    <t>Insert Name</t>
  </si>
  <si>
    <t>MMBtu</t>
  </si>
  <si>
    <t>Assessment Recommendations</t>
  </si>
  <si>
    <t>AR Number</t>
  </si>
  <si>
    <t>Number of Pages</t>
  </si>
  <si>
    <t>ARC Code</t>
  </si>
  <si>
    <t>APP Code</t>
  </si>
  <si>
    <t>BP Tool Used</t>
  </si>
  <si>
    <t>AR Name</t>
  </si>
  <si>
    <t>AR Description</t>
  </si>
  <si>
    <t>AR Author</t>
  </si>
  <si>
    <t>Primary Savings Source</t>
  </si>
  <si>
    <t>Primary Savings Quantity</t>
  </si>
  <si>
    <t>Primary Cost Savings</t>
  </si>
  <si>
    <t>Secondary Savings Source</t>
  </si>
  <si>
    <t>Secondary Savings Quantity</t>
  </si>
  <si>
    <t>Secondary Cost Savings</t>
  </si>
  <si>
    <t>Tertiary Savings Source</t>
  </si>
  <si>
    <t>Tertiary Savings Quantity</t>
  </si>
  <si>
    <t>Tertiary Cost Savings</t>
  </si>
  <si>
    <t>Quaternary Savings Source</t>
  </si>
  <si>
    <t>Quaternary Savings Quantity</t>
  </si>
  <si>
    <t>Quaternary Cost Savings</t>
  </si>
  <si>
    <t>Implementation Cost</t>
  </si>
  <si>
    <t>Other Cost</t>
  </si>
  <si>
    <t>Incremental</t>
  </si>
  <si>
    <t>Payback</t>
  </si>
  <si>
    <t>Resource Streams</t>
  </si>
  <si>
    <t>Source Name</t>
  </si>
  <si>
    <t>Source Code</t>
  </si>
  <si>
    <t>Electrical Consumption</t>
  </si>
  <si>
    <t>EC</t>
  </si>
  <si>
    <t>kWh (site)</t>
  </si>
  <si>
    <t>Electrical Demand</t>
  </si>
  <si>
    <t>ED</t>
  </si>
  <si>
    <t>kW Months / yr</t>
  </si>
  <si>
    <t>Other Electrical Fees</t>
  </si>
  <si>
    <t>EF</t>
  </si>
  <si>
    <t>no units</t>
  </si>
  <si>
    <t>Natural Gas</t>
  </si>
  <si>
    <t>E2</t>
  </si>
  <si>
    <t>L.P.G.</t>
  </si>
  <si>
    <t>E3</t>
  </si>
  <si>
    <t>#1 Fuel Oil</t>
  </si>
  <si>
    <t>E4</t>
  </si>
  <si>
    <t>#2 Fuel Oil</t>
  </si>
  <si>
    <t>E5</t>
  </si>
  <si>
    <t>#4 Fuel Oil</t>
  </si>
  <si>
    <t>E6</t>
  </si>
  <si>
    <t>#6 Fuel Oil</t>
  </si>
  <si>
    <t>E7</t>
  </si>
  <si>
    <t>Coal</t>
  </si>
  <si>
    <t>E8</t>
  </si>
  <si>
    <t>Wood</t>
  </si>
  <si>
    <t>E9</t>
  </si>
  <si>
    <t>Paper</t>
  </si>
  <si>
    <t>E10</t>
  </si>
  <si>
    <t>Other Gas</t>
  </si>
  <si>
    <t>E11</t>
  </si>
  <si>
    <t>Other Energy</t>
  </si>
  <si>
    <t>E12</t>
  </si>
  <si>
    <t>Water Disposal</t>
  </si>
  <si>
    <t>W1</t>
  </si>
  <si>
    <t>Gallons</t>
  </si>
  <si>
    <t>Other Liquid (non-haz)</t>
  </si>
  <si>
    <t>W2</t>
  </si>
  <si>
    <t>Other Liquid (haz)</t>
  </si>
  <si>
    <t>W3</t>
  </si>
  <si>
    <t>Solid Waste (non-haz)</t>
  </si>
  <si>
    <t>W4</t>
  </si>
  <si>
    <t>Pounds</t>
  </si>
  <si>
    <t>Solid Waste (haz)</t>
  </si>
  <si>
    <t>W5</t>
  </si>
  <si>
    <t>Gaseous Waste</t>
  </si>
  <si>
    <t>W6</t>
  </si>
  <si>
    <t>Personnel Changes</t>
  </si>
  <si>
    <t>R1</t>
  </si>
  <si>
    <t>Administrative Costs</t>
  </si>
  <si>
    <t>R2</t>
  </si>
  <si>
    <t>Primary Raw Material</t>
  </si>
  <si>
    <t>R3</t>
  </si>
  <si>
    <t>Ancillary Material Cost</t>
  </si>
  <si>
    <t>R4</t>
  </si>
  <si>
    <t>Water Consumption</t>
  </si>
  <si>
    <t>R5</t>
  </si>
  <si>
    <t>One-time Revenue</t>
  </si>
  <si>
    <t>R6</t>
  </si>
  <si>
    <t>Primary Product</t>
  </si>
  <si>
    <t>P1</t>
  </si>
  <si>
    <t>By-product Production</t>
  </si>
  <si>
    <t>P2</t>
  </si>
  <si>
    <t>Increase in Production</t>
  </si>
  <si>
    <t>P3</t>
  </si>
  <si>
    <t>%</t>
  </si>
  <si>
    <t>Application Codes</t>
  </si>
  <si>
    <t>Application</t>
  </si>
  <si>
    <t>Examples</t>
  </si>
  <si>
    <t>Manufacturing Process</t>
  </si>
  <si>
    <t>Process Heat Recovery, Variable Speed Drives on Process Equipment, Solvent Recovery</t>
  </si>
  <si>
    <t>Process Support</t>
  </si>
  <si>
    <t>Air Compressors, Steam, Nitrogen, Cogeneration</t>
  </si>
  <si>
    <t>Building and Grounds</t>
  </si>
  <si>
    <t>Lights, HVAC, Burn Waste for Heat</t>
  </si>
  <si>
    <t>Administrative</t>
  </si>
  <si>
    <t>Taxes, Inventory Control, Sale of Wastes</t>
  </si>
  <si>
    <t>Production Units</t>
  </si>
  <si>
    <t>Display Units</t>
  </si>
  <si>
    <t>Rutgers Units</t>
  </si>
  <si>
    <t>Not Available</t>
  </si>
  <si>
    <t>Pieces</t>
  </si>
  <si>
    <t>Tons</t>
  </si>
  <si>
    <t>BBL</t>
  </si>
  <si>
    <t>1000's Gallons</t>
  </si>
  <si>
    <t>Thousand Gallons</t>
  </si>
  <si>
    <t>1000's ft./sq. ft.</t>
  </si>
  <si>
    <t>Thousand Feed or Thousand Square Feet</t>
  </si>
  <si>
    <t>Bushels</t>
  </si>
  <si>
    <t>BP Tools</t>
  </si>
  <si>
    <t>Tool Name</t>
  </si>
  <si>
    <t>Tool Desciption</t>
  </si>
  <si>
    <t>None</t>
  </si>
  <si>
    <t>AM+</t>
  </si>
  <si>
    <t>AirMaster+</t>
  </si>
  <si>
    <t>CWSAT</t>
  </si>
  <si>
    <t>Chilled Water System Analysis Tool</t>
  </si>
  <si>
    <t>FSAT</t>
  </si>
  <si>
    <t>Fan System Assessment Tool (FSAT)</t>
  </si>
  <si>
    <t>MM+</t>
  </si>
  <si>
    <t>MotorMaster+ 4.0</t>
  </si>
  <si>
    <t>NxEAT</t>
  </si>
  <si>
    <t>Nox and Energy Assessment Tool</t>
  </si>
  <si>
    <t>PHAST</t>
  </si>
  <si>
    <t>Process Heating Assessment Tool (PHAST)</t>
  </si>
  <si>
    <t>PSAT</t>
  </si>
  <si>
    <t>Pump System Assessment Tool (PSAT)</t>
  </si>
  <si>
    <t>SSTS</t>
  </si>
  <si>
    <t>Steam System Tool Suite (SSST/SSAT/3E+)</t>
  </si>
  <si>
    <t>ASD</t>
  </si>
  <si>
    <t>ASDMaster: Adjustable Speed Drive Evaluation Tool</t>
  </si>
  <si>
    <t>Description</t>
  </si>
  <si>
    <t>Cost</t>
  </si>
  <si>
    <t>Original Template</t>
  </si>
  <si>
    <t>Totals</t>
  </si>
  <si>
    <t>Equations</t>
  </si>
  <si>
    <t>Data Collected</t>
  </si>
  <si>
    <t>(Rf. 1)</t>
  </si>
  <si>
    <t>(Eq. 1)</t>
  </si>
  <si>
    <t>kWh</t>
  </si>
  <si>
    <t>kW</t>
  </si>
  <si>
    <t>Incremental Demand Cost</t>
  </si>
  <si>
    <t>#</t>
  </si>
  <si>
    <t>Energy Consumption Data</t>
  </si>
  <si>
    <t>Annual Energy Consumption</t>
  </si>
  <si>
    <r>
      <t>(E</t>
    </r>
    <r>
      <rPr>
        <sz val="9"/>
        <color theme="1"/>
        <rFont val="Times New Roman"/>
        <family val="1"/>
      </rPr>
      <t>)</t>
    </r>
  </si>
  <si>
    <t>kWh/yr</t>
  </si>
  <si>
    <t>Savings Summary</t>
  </si>
  <si>
    <r>
      <t>(E</t>
    </r>
    <r>
      <rPr>
        <vertAlign val="subscript"/>
        <sz val="9"/>
        <color theme="1"/>
        <rFont val="Times New Roman"/>
        <family val="1"/>
      </rPr>
      <t>S</t>
    </r>
    <r>
      <rPr>
        <sz val="9"/>
        <color theme="1"/>
        <rFont val="Times New Roman"/>
        <family val="1"/>
      </rPr>
      <t>)</t>
    </r>
  </si>
  <si>
    <t>Annual Energy Savings</t>
  </si>
  <si>
    <t>Annual Energy Cost Savings</t>
  </si>
  <si>
    <r>
      <t>(CS</t>
    </r>
    <r>
      <rPr>
        <vertAlign val="subscript"/>
        <sz val="9"/>
        <color theme="1"/>
        <rFont val="Times New Roman"/>
        <family val="1"/>
      </rPr>
      <t>E</t>
    </r>
    <r>
      <rPr>
        <sz val="9"/>
        <color theme="1"/>
        <rFont val="Times New Roman"/>
        <family val="1"/>
      </rPr>
      <t>)</t>
    </r>
  </si>
  <si>
    <t>/yr</t>
  </si>
  <si>
    <t>Annual Demand Savings</t>
  </si>
  <si>
    <t>Annual Demand Cost Savings</t>
  </si>
  <si>
    <t>Annual Material Cost Savings</t>
  </si>
  <si>
    <t>Annual Labor Cost Savings</t>
  </si>
  <si>
    <r>
      <t>(D</t>
    </r>
    <r>
      <rPr>
        <vertAlign val="subscript"/>
        <sz val="9"/>
        <color theme="1"/>
        <rFont val="Times New Roman"/>
        <family val="1"/>
      </rPr>
      <t>S</t>
    </r>
    <r>
      <rPr>
        <sz val="9"/>
        <color theme="1"/>
        <rFont val="Times New Roman"/>
        <family val="1"/>
      </rPr>
      <t>)</t>
    </r>
  </si>
  <si>
    <r>
      <t>(CS</t>
    </r>
    <r>
      <rPr>
        <vertAlign val="subscript"/>
        <sz val="9"/>
        <color theme="1"/>
        <rFont val="Times New Roman"/>
        <family val="1"/>
      </rPr>
      <t>D</t>
    </r>
    <r>
      <rPr>
        <sz val="9"/>
        <color theme="1"/>
        <rFont val="Times New Roman"/>
        <family val="1"/>
      </rPr>
      <t>)</t>
    </r>
  </si>
  <si>
    <r>
      <t>(CS</t>
    </r>
    <r>
      <rPr>
        <vertAlign val="subscript"/>
        <sz val="9"/>
        <color theme="1"/>
        <rFont val="Times New Roman"/>
        <family val="1"/>
      </rPr>
      <t>M</t>
    </r>
    <r>
      <rPr>
        <sz val="9"/>
        <color theme="1"/>
        <rFont val="Times New Roman"/>
        <family val="1"/>
      </rPr>
      <t>)</t>
    </r>
  </si>
  <si>
    <r>
      <t>(CS</t>
    </r>
    <r>
      <rPr>
        <vertAlign val="subscript"/>
        <sz val="9"/>
        <color theme="1"/>
        <rFont val="Times New Roman"/>
        <family val="1"/>
      </rPr>
      <t>L</t>
    </r>
    <r>
      <rPr>
        <sz val="9"/>
        <color theme="1"/>
        <rFont val="Times New Roman"/>
        <family val="1"/>
      </rPr>
      <t>)</t>
    </r>
  </si>
  <si>
    <t>Implementation Cost Summary</t>
  </si>
  <si>
    <t>Maintenance Labor Rate</t>
  </si>
  <si>
    <t>Electrician Labor Rate</t>
  </si>
  <si>
    <t>Controls Installation Time</t>
  </si>
  <si>
    <t>Fixture Replacement Time</t>
  </si>
  <si>
    <t>Ballast Replacement Time</t>
  </si>
  <si>
    <t>Lamp Replacement Time</t>
  </si>
  <si>
    <t>/hr</t>
  </si>
  <si>
    <t>hours</t>
  </si>
  <si>
    <t>Economic Results</t>
  </si>
  <si>
    <t>Implementation Costs</t>
  </si>
  <si>
    <t>Notes</t>
  </si>
  <si>
    <t>References</t>
  </si>
  <si>
    <t>Fixture Code</t>
  </si>
  <si>
    <t>Type</t>
  </si>
  <si>
    <t>Lamp Size</t>
  </si>
  <si>
    <t>Length (ft)</t>
  </si>
  <si>
    <t>Lamps/ Fixture</t>
  </si>
  <si>
    <t>Watts/ Lamp</t>
  </si>
  <si>
    <t>Lumens Mean</t>
  </si>
  <si>
    <t>Lamp Life</t>
  </si>
  <si>
    <t>Input Watts (Total)</t>
  </si>
  <si>
    <t>Input Watts (Per Ballast)</t>
  </si>
  <si>
    <t>Ballast/ Fixture</t>
  </si>
  <si>
    <t>Ballast Life</t>
  </si>
  <si>
    <t>Ballast Factor</t>
  </si>
  <si>
    <t>Lamp Cost</t>
  </si>
  <si>
    <t>Ballast Cost</t>
  </si>
  <si>
    <t>4 ft. Office T12</t>
  </si>
  <si>
    <t>OF</t>
  </si>
  <si>
    <t>T12</t>
  </si>
  <si>
    <t>4 ft. Office T8</t>
  </si>
  <si>
    <t>T8</t>
  </si>
  <si>
    <t>4 ft. Office T5</t>
  </si>
  <si>
    <t>T5</t>
  </si>
  <si>
    <t>4 ft. Heavy Duty T12</t>
  </si>
  <si>
    <t>HD</t>
  </si>
  <si>
    <t>8 ft. Heavy Duty T12</t>
  </si>
  <si>
    <t>8 ft. Heavy Duty T12HO</t>
  </si>
  <si>
    <t>8 ft. Heavy Duty T12VHO</t>
  </si>
  <si>
    <t>4 ft. Heavy Duty T8</t>
  </si>
  <si>
    <t>8 ft. Heavy Duty T8</t>
  </si>
  <si>
    <t>4 ft. General Purpose T12</t>
  </si>
  <si>
    <t>GP</t>
  </si>
  <si>
    <t>8 ft. General Purpose T12</t>
  </si>
  <si>
    <t>8 ft. General Purpose T12HO</t>
  </si>
  <si>
    <t>4 ft. General Purpose T8</t>
  </si>
  <si>
    <t>8 ft. General Purpose T8</t>
  </si>
  <si>
    <t>4 ft. Clean Room T8</t>
  </si>
  <si>
    <t>CR</t>
  </si>
  <si>
    <t>4 ft. Water/Dust Resistant T12</t>
  </si>
  <si>
    <t>WL</t>
  </si>
  <si>
    <t>8 ft. Water/Dust Resistant T12</t>
  </si>
  <si>
    <t>4 ft. Water/Dust Resistant T8</t>
  </si>
  <si>
    <t>8 ft. Water/Dust Resistant T8</t>
  </si>
  <si>
    <t>High Bay T5 High Output</t>
  </si>
  <si>
    <t>HB</t>
  </si>
  <si>
    <t>T5HO</t>
  </si>
  <si>
    <t>Motion Sensor T8</t>
  </si>
  <si>
    <t>MS</t>
  </si>
  <si>
    <t>Motion Sensor T5HO</t>
  </si>
  <si>
    <t>70W Metal Halide</t>
  </si>
  <si>
    <t>MH</t>
  </si>
  <si>
    <t>100W Metal Halide</t>
  </si>
  <si>
    <t>175W Metal Halide</t>
  </si>
  <si>
    <t>250W Metal Halide</t>
  </si>
  <si>
    <t>320W Metal Halide</t>
  </si>
  <si>
    <t>400W Metal Halide</t>
  </si>
  <si>
    <t>1000W Metal Halide</t>
  </si>
  <si>
    <t>CFL</t>
  </si>
  <si>
    <t>15W Compact Fluorescent</t>
  </si>
  <si>
    <t>40W Incandescent</t>
  </si>
  <si>
    <t>I</t>
  </si>
  <si>
    <t>60W Incandescent</t>
  </si>
  <si>
    <t>75W Incandescent</t>
  </si>
  <si>
    <t>100W Incandescent</t>
  </si>
  <si>
    <t>135W Incandescent</t>
  </si>
  <si>
    <t>150W Incandescent</t>
  </si>
  <si>
    <t>200W Incandescent</t>
  </si>
  <si>
    <t>300W Incandescent</t>
  </si>
  <si>
    <t>50W Quartz</t>
  </si>
  <si>
    <t>Q</t>
  </si>
  <si>
    <t>71W Quartz</t>
  </si>
  <si>
    <t>150W Quartz</t>
  </si>
  <si>
    <t>250W Quartz</t>
  </si>
  <si>
    <t>500W Quartz</t>
  </si>
  <si>
    <t>1000W Quartz</t>
  </si>
  <si>
    <t>100W High Pressure Sodium</t>
  </si>
  <si>
    <t>HPS</t>
  </si>
  <si>
    <t>150W High Pressure Sodium</t>
  </si>
  <si>
    <t>200W High Pressure Sodium</t>
  </si>
  <si>
    <t>250W High Pressure Sodium</t>
  </si>
  <si>
    <t>400W High Pressure Sodium</t>
  </si>
  <si>
    <t>1000W High Pressure Sodium</t>
  </si>
  <si>
    <t>General Data</t>
  </si>
  <si>
    <t>Area Description</t>
  </si>
  <si>
    <t>Incremental Energy Cost</t>
  </si>
  <si>
    <t>/kWh</t>
  </si>
  <si>
    <t>/kW-mo</t>
  </si>
  <si>
    <t>Proposed</t>
  </si>
  <si>
    <t>Material Cost</t>
  </si>
  <si>
    <t>Recommendation Summary</t>
  </si>
  <si>
    <t>/fixture</t>
  </si>
  <si>
    <t>/unit</t>
  </si>
  <si>
    <t>Number of Sensors</t>
  </si>
  <si>
    <t>units</t>
  </si>
  <si>
    <t>Energy Savings</t>
  </si>
  <si>
    <t>Demand Savings</t>
  </si>
  <si>
    <t>Material Savings</t>
  </si>
  <si>
    <t>(/yr)</t>
  </si>
  <si>
    <t>Labor Savings</t>
  </si>
  <si>
    <t>Total Savings</t>
  </si>
  <si>
    <t>Installation Cost</t>
  </si>
  <si>
    <t>Total Cost</t>
  </si>
  <si>
    <t>Simple Payback</t>
  </si>
  <si>
    <t>(years)</t>
  </si>
  <si>
    <t>Existing</t>
  </si>
  <si>
    <t>Savings</t>
  </si>
  <si>
    <t>watts</t>
  </si>
  <si>
    <t>FC</t>
  </si>
  <si>
    <t>years</t>
  </si>
  <si>
    <t>Fixtures</t>
  </si>
  <si>
    <t>Lamps</t>
  </si>
  <si>
    <t>Ballasts</t>
  </si>
  <si>
    <t>Power and Energy</t>
  </si>
  <si>
    <t>Light Level Check</t>
  </si>
  <si>
    <t>Lamps per Fixture</t>
  </si>
  <si>
    <t>Ballasts per Fixture</t>
  </si>
  <si>
    <t>Lm</t>
  </si>
  <si>
    <t>/year</t>
  </si>
  <si>
    <t xml:space="preserve"> Demand Cost</t>
  </si>
  <si>
    <t xml:space="preserve"> Energy Cost</t>
  </si>
  <si>
    <t xml:space="preserve"> Maintenance Material Cost</t>
  </si>
  <si>
    <t xml:space="preserve"> Maintenance Labor Cost</t>
  </si>
  <si>
    <t xml:space="preserve"> Total Operating Cost</t>
  </si>
  <si>
    <t>Fixture Cost (with Ballast)</t>
  </si>
  <si>
    <t>Operating Costs</t>
  </si>
  <si>
    <r>
      <rPr>
        <b/>
        <sz val="10"/>
        <rFont val="Times New Roman"/>
        <family val="1"/>
      </rPr>
      <t xml:space="preserve">Rf. 1) </t>
    </r>
    <r>
      <rPr>
        <sz val="10"/>
        <rFont val="Times New Roman"/>
        <family val="1"/>
      </rPr>
      <t>Developed in the Lighting Inventory in the Site Data section.</t>
    </r>
  </si>
  <si>
    <t>Fixture Cost (w/ Ballast)</t>
  </si>
  <si>
    <t>(kWh/yr)</t>
  </si>
  <si>
    <t>Recommendation Description</t>
  </si>
  <si>
    <t>Picture</t>
  </si>
  <si>
    <t>Sensor Cost</t>
  </si>
  <si>
    <t>Recommended Foot-Candles</t>
  </si>
  <si>
    <t>(kW-mo)</t>
  </si>
  <si>
    <t>Lighting</t>
  </si>
  <si>
    <t>/yr.</t>
  </si>
  <si>
    <t>kW-mo</t>
  </si>
  <si>
    <t>kLm</t>
  </si>
  <si>
    <t>LED</t>
  </si>
  <si>
    <t>8ft. T12</t>
  </si>
  <si>
    <t>T10</t>
  </si>
  <si>
    <t>8ft. T10</t>
  </si>
  <si>
    <t>8ft. T8</t>
  </si>
  <si>
    <t>4ft. T12</t>
  </si>
  <si>
    <t>4ft. T10</t>
  </si>
  <si>
    <t>4ft. T8</t>
  </si>
  <si>
    <t>2ft. Office T12</t>
  </si>
  <si>
    <t>2ft. Office T10</t>
  </si>
  <si>
    <t>2ft. Office T8</t>
  </si>
  <si>
    <t>Annual Operating Hours</t>
  </si>
  <si>
    <t>Output Factor</t>
  </si>
  <si>
    <t>Life</t>
  </si>
  <si>
    <t>Watts per Lamp</t>
  </si>
  <si>
    <t>Lumens</t>
  </si>
  <si>
    <t>Replacement Fraction</t>
  </si>
  <si>
    <t>Annual Lamp Replacement Cost</t>
  </si>
  <si>
    <t>Annual Maintenance Labor Cost</t>
  </si>
  <si>
    <t>Input Watts</t>
  </si>
  <si>
    <t>Annual Ballast Replacement Cost</t>
  </si>
  <si>
    <t>Total Lumens</t>
  </si>
  <si>
    <t>Lighting Efficiency</t>
  </si>
  <si>
    <t>Foot-Candles</t>
  </si>
  <si>
    <t>Materials Cost</t>
  </si>
  <si>
    <t>Labor Cost</t>
  </si>
  <si>
    <t>Total Implementation Cost</t>
  </si>
  <si>
    <t>Incremental Implementation</t>
  </si>
  <si>
    <t>No</t>
  </si>
  <si>
    <t>Lm/W</t>
  </si>
  <si>
    <t>Lighting Power</t>
  </si>
  <si>
    <t>7W Compact Fluorescent(25W)</t>
  </si>
  <si>
    <t>11W Compact Fluorescent(45W)</t>
  </si>
  <si>
    <t>13W Compact Fluorescent(60W)</t>
  </si>
  <si>
    <t>20W Compact Fluorescent(75W)</t>
  </si>
  <si>
    <t>26W Compact Fluorescent(100W)</t>
  </si>
  <si>
    <t>60W LED Exterior Wallpack</t>
  </si>
  <si>
    <t>Additonal Information</t>
  </si>
  <si>
    <t>(150W)</t>
  </si>
  <si>
    <t>107W LED Parking Light</t>
  </si>
  <si>
    <t>(250W)</t>
  </si>
  <si>
    <t>120W LED High Bay</t>
  </si>
  <si>
    <t>(400W)</t>
  </si>
  <si>
    <t>Replace lights</t>
  </si>
  <si>
    <t>Energy Use</t>
  </si>
  <si>
    <t>Data Collection</t>
  </si>
  <si>
    <t>Orange Team Review</t>
  </si>
  <si>
    <t>Black Team Review</t>
  </si>
  <si>
    <t>Annual Savings Summary</t>
  </si>
  <si>
    <t>Payback (yrs)</t>
  </si>
  <si>
    <t>Warehouse</t>
  </si>
  <si>
    <t>GP-T12-8FT-4L-75W</t>
  </si>
  <si>
    <t>MS-T5HO-4FT-4L-51W</t>
  </si>
  <si>
    <t>Maintenance Material Cost</t>
  </si>
  <si>
    <t>Maintenance Labor Cost</t>
  </si>
  <si>
    <t>(Rf. 2)</t>
  </si>
  <si>
    <t>Report Data Export page pulls values from this table</t>
  </si>
  <si>
    <t>N</t>
  </si>
  <si>
    <t>Recommendation template version 2013b</t>
  </si>
  <si>
    <t>($)</t>
  </si>
  <si>
    <t>A detailed listing of proposed lighting can be found on the summary pages in this recommendation.</t>
  </si>
  <si>
    <t>Reduce illumination to minimum necessary levels</t>
  </si>
  <si>
    <t>Reduce exterior illumination to minimum safe level</t>
  </si>
  <si>
    <t>Utilize daylight whenever possible in lieu of artificial light</t>
  </si>
  <si>
    <t>Disconnect ballasts</t>
  </si>
  <si>
    <t>Keep lamps and reflectors clean</t>
  </si>
  <si>
    <t>Make a practice of turning off lights when not needed</t>
  </si>
  <si>
    <t>Add area lighting switches</t>
  </si>
  <si>
    <t>Install timers on light switches in little used areas</t>
  </si>
  <si>
    <t>Use separate switches on perimeter lighting which may be turned off when natural light is available</t>
  </si>
  <si>
    <t>Use photocell controls</t>
  </si>
  <si>
    <t>Install occupancy sensors</t>
  </si>
  <si>
    <t>Lower light fixtures in high ceiling areas</t>
  </si>
  <si>
    <t>Utilize higher efficiency lamps and/or ballasts</t>
  </si>
  <si>
    <t>Use more efficient light source</t>
  </si>
  <si>
    <t>Install spectral reflectors / delamp</t>
  </si>
  <si>
    <t>Some Useful ARC Codes (Updated June 2013)</t>
  </si>
  <si>
    <r>
      <rPr>
        <b/>
        <sz val="10"/>
        <color theme="1"/>
        <rFont val="Times New Roman"/>
        <family val="1"/>
      </rPr>
      <t>Eq. 1)</t>
    </r>
    <r>
      <rPr>
        <sz val="10"/>
        <color theme="1"/>
        <rFont val="Times New Roman"/>
        <family val="1"/>
      </rPr>
      <t xml:space="preserve"> Cost Savings (S)</t>
    </r>
  </si>
  <si>
    <t>(S)</t>
  </si>
  <si>
    <r>
      <t>(C</t>
    </r>
    <r>
      <rPr>
        <vertAlign val="subscript"/>
        <sz val="9"/>
        <color theme="1"/>
        <rFont val="Times New Roman"/>
        <family val="1"/>
      </rPr>
      <t>I</t>
    </r>
    <r>
      <rPr>
        <sz val="9"/>
        <color theme="1"/>
        <rFont val="Times New Roman"/>
        <family val="1"/>
      </rPr>
      <t>)</t>
    </r>
  </si>
  <si>
    <r>
      <t>(t</t>
    </r>
    <r>
      <rPr>
        <vertAlign val="subscript"/>
        <sz val="9"/>
        <color theme="1"/>
        <rFont val="Times New Roman"/>
        <family val="1"/>
      </rPr>
      <t>PB</t>
    </r>
    <r>
      <rPr>
        <sz val="9"/>
        <color theme="1"/>
        <rFont val="Times New Roman"/>
        <family val="1"/>
      </rPr>
      <t>)</t>
    </r>
  </si>
  <si>
    <t>(Eq. 2)</t>
  </si>
  <si>
    <r>
      <rPr>
        <b/>
        <sz val="10"/>
        <color theme="1"/>
        <rFont val="Times New Roman"/>
        <family val="1"/>
      </rPr>
      <t>Eq. 2)</t>
    </r>
    <r>
      <rPr>
        <sz val="10"/>
        <color theme="1"/>
        <rFont val="Times New Roman"/>
        <family val="1"/>
      </rPr>
      <t xml:space="preserve"> Simple Payback (t</t>
    </r>
    <r>
      <rPr>
        <vertAlign val="subscript"/>
        <sz val="10"/>
        <color theme="1"/>
        <rFont val="Times New Roman"/>
        <family val="1"/>
      </rPr>
      <t>PB</t>
    </r>
    <r>
      <rPr>
        <sz val="10"/>
        <color theme="1"/>
        <rFont val="Times New Roman"/>
        <family val="1"/>
      </rPr>
      <t>)</t>
    </r>
  </si>
  <si>
    <r>
      <rPr>
        <b/>
        <sz val="10"/>
        <color theme="1"/>
        <rFont val="Times New Roman"/>
        <family val="1"/>
      </rPr>
      <t>Rf. 2)</t>
    </r>
    <r>
      <rPr>
        <sz val="10"/>
        <color theme="1"/>
        <rFont val="Times New Roman"/>
        <family val="1"/>
      </rPr>
      <t xml:space="preserve"> Totals from the summary tables on the following pages.</t>
    </r>
  </si>
  <si>
    <t>(Rf. 2, Rf. 4)</t>
  </si>
  <si>
    <r>
      <rPr>
        <b/>
        <sz val="10"/>
        <color theme="1"/>
        <rFont val="Times New Roman"/>
        <family val="1"/>
      </rPr>
      <t>Rf. 3)</t>
    </r>
    <r>
      <rPr>
        <sz val="10"/>
        <color theme="1"/>
        <rFont val="Times New Roman"/>
        <family val="1"/>
      </rPr>
      <t xml:space="preserve"> Labor rates and replacement times associated with implementation cost were estimated using RSMeans 2012 Building Construction Cost Data.</t>
    </r>
  </si>
  <si>
    <r>
      <rPr>
        <b/>
        <sz val="10"/>
        <color theme="1"/>
        <rFont val="Times New Roman"/>
        <family val="1"/>
      </rPr>
      <t>Rf. 4)</t>
    </r>
    <r>
      <rPr>
        <sz val="10"/>
        <color theme="1"/>
        <rFont val="Times New Roman"/>
        <family val="1"/>
      </rPr>
      <t xml:space="preserve"> Lighting material costs used in this recommendation were found at: www.grainger.com/Grainger/lighting/ecatalog/</t>
    </r>
  </si>
  <si>
    <t>(Rf. 3)</t>
  </si>
  <si>
    <r>
      <t>(n</t>
    </r>
    <r>
      <rPr>
        <vertAlign val="subscript"/>
        <sz val="10"/>
        <color theme="1"/>
        <rFont val="Times New Roman"/>
        <family val="1"/>
      </rPr>
      <t>F</t>
    </r>
    <r>
      <rPr>
        <sz val="10"/>
        <color theme="1"/>
        <rFont val="Times New Roman"/>
        <family val="1"/>
      </rPr>
      <t>)</t>
    </r>
  </si>
  <si>
    <r>
      <t>(t</t>
    </r>
    <r>
      <rPr>
        <vertAlign val="subscript"/>
        <sz val="10"/>
        <color theme="1"/>
        <rFont val="Times New Roman"/>
        <family val="1"/>
      </rPr>
      <t>Op</t>
    </r>
    <r>
      <rPr>
        <sz val="10"/>
        <color theme="1"/>
        <rFont val="Times New Roman"/>
        <family val="1"/>
      </rPr>
      <t>)</t>
    </r>
  </si>
  <si>
    <r>
      <t>(n</t>
    </r>
    <r>
      <rPr>
        <vertAlign val="subscript"/>
        <sz val="10"/>
        <color theme="1"/>
        <rFont val="Times New Roman"/>
        <family val="1"/>
      </rPr>
      <t>FL</t>
    </r>
    <r>
      <rPr>
        <sz val="10"/>
        <color theme="1"/>
        <rFont val="Times New Roman"/>
        <family val="1"/>
      </rPr>
      <t>)</t>
    </r>
  </si>
  <si>
    <t>(l)</t>
  </si>
  <si>
    <r>
      <t>(W</t>
    </r>
    <r>
      <rPr>
        <vertAlign val="subscript"/>
        <sz val="10"/>
        <color theme="1"/>
        <rFont val="Times New Roman"/>
        <family val="1"/>
      </rPr>
      <t>L</t>
    </r>
    <r>
      <rPr>
        <sz val="10"/>
        <color theme="1"/>
        <rFont val="Times New Roman"/>
        <family val="1"/>
      </rPr>
      <t>)</t>
    </r>
  </si>
  <si>
    <r>
      <t>(n</t>
    </r>
    <r>
      <rPr>
        <vertAlign val="subscript"/>
        <sz val="10"/>
        <color theme="1"/>
        <rFont val="Times New Roman"/>
        <family val="1"/>
      </rPr>
      <t>FB</t>
    </r>
    <r>
      <rPr>
        <sz val="10"/>
        <color theme="1"/>
        <rFont val="Times New Roman"/>
        <family val="1"/>
      </rPr>
      <t>)</t>
    </r>
  </si>
  <si>
    <t>(OF)</t>
  </si>
  <si>
    <r>
      <t>(W</t>
    </r>
    <r>
      <rPr>
        <vertAlign val="subscript"/>
        <sz val="10"/>
        <color theme="1"/>
        <rFont val="Times New Roman"/>
        <family val="1"/>
      </rPr>
      <t>B</t>
    </r>
    <r>
      <rPr>
        <sz val="10"/>
        <color theme="1"/>
        <rFont val="Times New Roman"/>
        <family val="1"/>
      </rPr>
      <t>)</t>
    </r>
  </si>
  <si>
    <r>
      <t>(C</t>
    </r>
    <r>
      <rPr>
        <vertAlign val="subscript"/>
        <sz val="10"/>
        <color theme="1"/>
        <rFont val="Times New Roman"/>
        <family val="1"/>
      </rPr>
      <t>L</t>
    </r>
    <r>
      <rPr>
        <sz val="10"/>
        <color theme="1"/>
        <rFont val="Times New Roman"/>
        <family val="1"/>
      </rPr>
      <t>)</t>
    </r>
  </si>
  <si>
    <r>
      <t>(C</t>
    </r>
    <r>
      <rPr>
        <vertAlign val="subscript"/>
        <sz val="10"/>
        <color theme="1"/>
        <rFont val="Times New Roman"/>
        <family val="1"/>
      </rPr>
      <t>B</t>
    </r>
    <r>
      <rPr>
        <sz val="10"/>
        <color theme="1"/>
        <rFont val="Times New Roman"/>
        <family val="1"/>
      </rPr>
      <t>)</t>
    </r>
  </si>
  <si>
    <r>
      <t>(C</t>
    </r>
    <r>
      <rPr>
        <vertAlign val="subscript"/>
        <sz val="10"/>
        <color theme="1"/>
        <rFont val="Times New Roman"/>
        <family val="1"/>
      </rPr>
      <t>S</t>
    </r>
    <r>
      <rPr>
        <sz val="10"/>
        <color theme="1"/>
        <rFont val="Times New Roman"/>
        <family val="1"/>
      </rPr>
      <t>)</t>
    </r>
  </si>
  <si>
    <r>
      <t>(n</t>
    </r>
    <r>
      <rPr>
        <vertAlign val="subscript"/>
        <sz val="10"/>
        <color theme="1"/>
        <rFont val="Times New Roman"/>
        <family val="1"/>
      </rPr>
      <t>S</t>
    </r>
    <r>
      <rPr>
        <sz val="10"/>
        <color theme="1"/>
        <rFont val="Times New Roman"/>
        <family val="1"/>
      </rPr>
      <t>)</t>
    </r>
  </si>
  <si>
    <t xml:space="preserve">Life                                                   </t>
  </si>
  <si>
    <t xml:space="preserve">Quantity                    </t>
  </si>
  <si>
    <t xml:space="preserve">Replacement Fraction  </t>
  </si>
  <si>
    <r>
      <t>(n</t>
    </r>
    <r>
      <rPr>
        <vertAlign val="subscript"/>
        <sz val="10"/>
        <color theme="1"/>
        <rFont val="Times New Roman"/>
        <family val="1"/>
      </rPr>
      <t>TL</t>
    </r>
    <r>
      <rPr>
        <sz val="10"/>
        <color theme="1"/>
        <rFont val="Times New Roman"/>
        <family val="1"/>
      </rPr>
      <t>)</t>
    </r>
    <r>
      <rPr>
        <b/>
        <sz val="10"/>
        <color theme="1"/>
        <rFont val="Times New Roman"/>
        <family val="1"/>
      </rPr>
      <t>(Eq. 1)</t>
    </r>
  </si>
  <si>
    <r>
      <t>(RF</t>
    </r>
    <r>
      <rPr>
        <vertAlign val="subscript"/>
        <sz val="10"/>
        <color theme="1"/>
        <rFont val="Times New Roman"/>
        <family val="1"/>
      </rPr>
      <t>L</t>
    </r>
    <r>
      <rPr>
        <sz val="10"/>
        <color theme="1"/>
        <rFont val="Times New Roman"/>
        <family val="1"/>
      </rPr>
      <t>)</t>
    </r>
    <r>
      <rPr>
        <b/>
        <sz val="10"/>
        <color theme="1"/>
        <rFont val="Times New Roman"/>
        <family val="1"/>
      </rPr>
      <t>(Eq. 2)</t>
    </r>
  </si>
  <si>
    <r>
      <t>(C</t>
    </r>
    <r>
      <rPr>
        <vertAlign val="subscript"/>
        <sz val="10"/>
        <color theme="1"/>
        <rFont val="Times New Roman"/>
        <family val="1"/>
      </rPr>
      <t>LM</t>
    </r>
    <r>
      <rPr>
        <sz val="10"/>
        <color theme="1"/>
        <rFont val="Times New Roman"/>
        <family val="1"/>
      </rPr>
      <t>)</t>
    </r>
    <r>
      <rPr>
        <b/>
        <sz val="10"/>
        <color theme="1"/>
        <rFont val="Times New Roman"/>
        <family val="1"/>
      </rPr>
      <t>(Eq. 4)</t>
    </r>
  </si>
  <si>
    <r>
      <t>(C</t>
    </r>
    <r>
      <rPr>
        <vertAlign val="subscript"/>
        <sz val="10"/>
        <color theme="1"/>
        <rFont val="Times New Roman"/>
        <family val="1"/>
      </rPr>
      <t>LR</t>
    </r>
    <r>
      <rPr>
        <sz val="10"/>
        <color theme="1"/>
        <rFont val="Times New Roman"/>
        <family val="1"/>
      </rPr>
      <t>)</t>
    </r>
    <r>
      <rPr>
        <b/>
        <sz val="10"/>
        <color theme="1"/>
        <rFont val="Times New Roman"/>
        <family val="1"/>
      </rPr>
      <t>(Eq. 3)</t>
    </r>
  </si>
  <si>
    <r>
      <t>(n</t>
    </r>
    <r>
      <rPr>
        <vertAlign val="subscript"/>
        <sz val="10"/>
        <color theme="1"/>
        <rFont val="Times New Roman"/>
        <family val="1"/>
      </rPr>
      <t>TB</t>
    </r>
    <r>
      <rPr>
        <sz val="10"/>
        <color theme="1"/>
        <rFont val="Times New Roman"/>
        <family val="1"/>
      </rPr>
      <t>)</t>
    </r>
    <r>
      <rPr>
        <b/>
        <sz val="10"/>
        <color theme="1"/>
        <rFont val="Times New Roman"/>
        <family val="1"/>
      </rPr>
      <t>(Eq. 5)</t>
    </r>
  </si>
  <si>
    <r>
      <t>(RF</t>
    </r>
    <r>
      <rPr>
        <vertAlign val="subscript"/>
        <sz val="10"/>
        <color theme="1"/>
        <rFont val="Times New Roman"/>
        <family val="1"/>
      </rPr>
      <t>B</t>
    </r>
    <r>
      <rPr>
        <sz val="10"/>
        <color theme="1"/>
        <rFont val="Times New Roman"/>
        <family val="1"/>
      </rPr>
      <t>)</t>
    </r>
    <r>
      <rPr>
        <b/>
        <sz val="10"/>
        <color theme="1"/>
        <rFont val="Times New Roman"/>
        <family val="1"/>
      </rPr>
      <t>(Eq. 6)</t>
    </r>
  </si>
  <si>
    <r>
      <t>(C</t>
    </r>
    <r>
      <rPr>
        <vertAlign val="subscript"/>
        <sz val="10"/>
        <color theme="1"/>
        <rFont val="Times New Roman"/>
        <family val="1"/>
      </rPr>
      <t>BR</t>
    </r>
    <r>
      <rPr>
        <sz val="10"/>
        <color theme="1"/>
        <rFont val="Times New Roman"/>
        <family val="1"/>
      </rPr>
      <t>)</t>
    </r>
    <r>
      <rPr>
        <b/>
        <sz val="10"/>
        <color theme="1"/>
        <rFont val="Times New Roman"/>
        <family val="1"/>
      </rPr>
      <t>(Eq. 7)</t>
    </r>
  </si>
  <si>
    <r>
      <t>(C</t>
    </r>
    <r>
      <rPr>
        <vertAlign val="subscript"/>
        <sz val="10"/>
        <color theme="1"/>
        <rFont val="Times New Roman"/>
        <family val="1"/>
      </rPr>
      <t>BM</t>
    </r>
    <r>
      <rPr>
        <sz val="10"/>
        <color theme="1"/>
        <rFont val="Times New Roman"/>
        <family val="1"/>
      </rPr>
      <t>)</t>
    </r>
    <r>
      <rPr>
        <b/>
        <sz val="10"/>
        <color theme="1"/>
        <rFont val="Times New Roman"/>
        <family val="1"/>
      </rPr>
      <t>(Eq. 8)</t>
    </r>
  </si>
  <si>
    <r>
      <t>(P</t>
    </r>
    <r>
      <rPr>
        <vertAlign val="subscript"/>
        <sz val="10"/>
        <color theme="1"/>
        <rFont val="Times New Roman"/>
        <family val="1"/>
      </rPr>
      <t>L</t>
    </r>
    <r>
      <rPr>
        <sz val="10"/>
        <color theme="1"/>
        <rFont val="Times New Roman"/>
        <family val="1"/>
      </rPr>
      <t>)</t>
    </r>
    <r>
      <rPr>
        <b/>
        <sz val="10"/>
        <color theme="1"/>
        <rFont val="Times New Roman"/>
        <family val="1"/>
      </rPr>
      <t>(Eq. 9)</t>
    </r>
  </si>
  <si>
    <t>&lt;- MAKE SURE TO CHANGE EQUATIONS IF THERE ARE ANY SPECIAL CIRCUMSTANCES.</t>
  </si>
  <si>
    <r>
      <t>(t</t>
    </r>
    <r>
      <rPr>
        <vertAlign val="subscript"/>
        <sz val="10"/>
        <color theme="1"/>
        <rFont val="Times New Roman"/>
        <family val="1"/>
      </rPr>
      <t>LL</t>
    </r>
    <r>
      <rPr>
        <sz val="10"/>
        <color theme="1"/>
        <rFont val="Times New Roman"/>
        <family val="1"/>
      </rPr>
      <t>)</t>
    </r>
  </si>
  <si>
    <r>
      <t>(t</t>
    </r>
    <r>
      <rPr>
        <vertAlign val="subscript"/>
        <sz val="9"/>
        <color theme="1"/>
        <rFont val="Times New Roman"/>
        <family val="1"/>
      </rPr>
      <t>CI</t>
    </r>
    <r>
      <rPr>
        <sz val="9"/>
        <color theme="1"/>
        <rFont val="Times New Roman"/>
        <family val="1"/>
      </rPr>
      <t>)</t>
    </r>
  </si>
  <si>
    <r>
      <t>(t</t>
    </r>
    <r>
      <rPr>
        <vertAlign val="subscript"/>
        <sz val="9"/>
        <color theme="1"/>
        <rFont val="Times New Roman"/>
        <family val="1"/>
      </rPr>
      <t>FR</t>
    </r>
    <r>
      <rPr>
        <sz val="9"/>
        <color theme="1"/>
        <rFont val="Times New Roman"/>
        <family val="1"/>
      </rPr>
      <t>)</t>
    </r>
  </si>
  <si>
    <r>
      <t>(t</t>
    </r>
    <r>
      <rPr>
        <vertAlign val="subscript"/>
        <sz val="9"/>
        <color theme="1"/>
        <rFont val="Times New Roman"/>
        <family val="1"/>
      </rPr>
      <t>BR</t>
    </r>
    <r>
      <rPr>
        <sz val="9"/>
        <color theme="1"/>
        <rFont val="Times New Roman"/>
        <family val="1"/>
      </rPr>
      <t>)</t>
    </r>
  </si>
  <si>
    <r>
      <t>(t</t>
    </r>
    <r>
      <rPr>
        <vertAlign val="subscript"/>
        <sz val="9"/>
        <color theme="1"/>
        <rFont val="Times New Roman"/>
        <family val="1"/>
      </rPr>
      <t>LR</t>
    </r>
    <r>
      <rPr>
        <sz val="9"/>
        <color theme="1"/>
        <rFont val="Times New Roman"/>
        <family val="1"/>
      </rPr>
      <t>)</t>
    </r>
  </si>
  <si>
    <r>
      <t>(t</t>
    </r>
    <r>
      <rPr>
        <vertAlign val="subscript"/>
        <sz val="10"/>
        <color theme="1"/>
        <rFont val="Times New Roman"/>
        <family val="1"/>
      </rPr>
      <t>BL</t>
    </r>
    <r>
      <rPr>
        <sz val="10"/>
        <color theme="1"/>
        <rFont val="Times New Roman"/>
        <family val="1"/>
      </rPr>
      <t>)</t>
    </r>
  </si>
  <si>
    <r>
      <t>Eq. 1)</t>
    </r>
    <r>
      <rPr>
        <sz val="10"/>
        <rFont val="Times New Roman"/>
        <family val="1"/>
      </rPr>
      <t xml:space="preserve"> Quantity (n</t>
    </r>
    <r>
      <rPr>
        <vertAlign val="subscript"/>
        <sz val="10"/>
        <rFont val="Times New Roman"/>
        <family val="1"/>
      </rPr>
      <t>TL</t>
    </r>
    <r>
      <rPr>
        <sz val="10"/>
        <rFont val="Times New Roman"/>
        <family val="1"/>
      </rPr>
      <t>)</t>
    </r>
  </si>
  <si>
    <r>
      <t>Eq. 2)</t>
    </r>
    <r>
      <rPr>
        <sz val="10"/>
        <rFont val="Times New Roman"/>
        <family val="1"/>
      </rPr>
      <t xml:space="preserve"> Replacement Fraction (RF</t>
    </r>
    <r>
      <rPr>
        <vertAlign val="subscript"/>
        <sz val="10"/>
        <rFont val="Times New Roman"/>
        <family val="1"/>
      </rPr>
      <t>L</t>
    </r>
    <r>
      <rPr>
        <sz val="10"/>
        <rFont val="Times New Roman"/>
        <family val="1"/>
      </rPr>
      <t>)</t>
    </r>
  </si>
  <si>
    <r>
      <t xml:space="preserve">Eq. 3) </t>
    </r>
    <r>
      <rPr>
        <sz val="10"/>
        <rFont val="Times New Roman"/>
        <family val="1"/>
      </rPr>
      <t>Annual Replacement (C</t>
    </r>
    <r>
      <rPr>
        <vertAlign val="subscript"/>
        <sz val="10"/>
        <rFont val="Times New Roman"/>
        <family val="1"/>
      </rPr>
      <t>LR</t>
    </r>
    <r>
      <rPr>
        <sz val="10"/>
        <rFont val="Times New Roman"/>
        <family val="1"/>
      </rPr>
      <t>)</t>
    </r>
  </si>
  <si>
    <r>
      <t>(C</t>
    </r>
    <r>
      <rPr>
        <vertAlign val="subscript"/>
        <sz val="9"/>
        <color theme="1"/>
        <rFont val="Times New Roman"/>
        <family val="1"/>
      </rPr>
      <t>EL</t>
    </r>
    <r>
      <rPr>
        <sz val="9"/>
        <color theme="1"/>
        <rFont val="Times New Roman"/>
        <family val="1"/>
      </rPr>
      <t>)</t>
    </r>
  </si>
  <si>
    <r>
      <t>(C</t>
    </r>
    <r>
      <rPr>
        <vertAlign val="subscript"/>
        <sz val="9"/>
        <color theme="1"/>
        <rFont val="Times New Roman"/>
        <family val="1"/>
      </rPr>
      <t>ML</t>
    </r>
    <r>
      <rPr>
        <sz val="9"/>
        <color theme="1"/>
        <rFont val="Times New Roman"/>
        <family val="1"/>
      </rPr>
      <t>)</t>
    </r>
  </si>
  <si>
    <r>
      <t>(C</t>
    </r>
    <r>
      <rPr>
        <vertAlign val="subscript"/>
        <sz val="10"/>
        <color theme="1"/>
        <rFont val="Times New Roman"/>
        <family val="1"/>
      </rPr>
      <t>ID</t>
    </r>
    <r>
      <rPr>
        <sz val="10"/>
        <color theme="1"/>
        <rFont val="Times New Roman"/>
        <family val="1"/>
      </rPr>
      <t>)</t>
    </r>
  </si>
  <si>
    <r>
      <t>(C</t>
    </r>
    <r>
      <rPr>
        <vertAlign val="subscript"/>
        <sz val="10"/>
        <color theme="1"/>
        <rFont val="Times New Roman"/>
        <family val="1"/>
      </rPr>
      <t>IE</t>
    </r>
    <r>
      <rPr>
        <sz val="10"/>
        <color theme="1"/>
        <rFont val="Times New Roman"/>
        <family val="1"/>
      </rPr>
      <t>)</t>
    </r>
  </si>
  <si>
    <r>
      <t>(C</t>
    </r>
    <r>
      <rPr>
        <vertAlign val="subscript"/>
        <sz val="10"/>
        <color theme="1"/>
        <rFont val="Times New Roman"/>
        <family val="1"/>
      </rPr>
      <t>F</t>
    </r>
    <r>
      <rPr>
        <sz val="10"/>
        <color theme="1"/>
        <rFont val="Times New Roman"/>
        <family val="1"/>
      </rPr>
      <t>)</t>
    </r>
  </si>
  <si>
    <t xml:space="preserve">&lt;-- Add Formula in Formula sheet to match how Materials Cost is actually being calculated. </t>
  </si>
  <si>
    <t xml:space="preserve">&lt;-- Add Formula in Formula sheet to match how Labor Cost is actually being calculated. </t>
  </si>
  <si>
    <r>
      <t xml:space="preserve">Eq. 4) </t>
    </r>
    <r>
      <rPr>
        <sz val="10"/>
        <rFont val="Times New Roman"/>
        <family val="1"/>
      </rPr>
      <t>Annual Maintenance Labor Cost (C</t>
    </r>
    <r>
      <rPr>
        <vertAlign val="subscript"/>
        <sz val="10"/>
        <rFont val="Times New Roman"/>
        <family val="1"/>
      </rPr>
      <t>LM</t>
    </r>
    <r>
      <rPr>
        <sz val="10"/>
        <rFont val="Times New Roman"/>
        <family val="1"/>
      </rPr>
      <t>)</t>
    </r>
  </si>
  <si>
    <r>
      <t xml:space="preserve">Eq. 6) </t>
    </r>
    <r>
      <rPr>
        <sz val="10"/>
        <rFont val="Times New Roman"/>
        <family val="1"/>
      </rPr>
      <t>Replacement Fraction (RF</t>
    </r>
    <r>
      <rPr>
        <vertAlign val="subscript"/>
        <sz val="10"/>
        <rFont val="Times New Roman"/>
        <family val="1"/>
      </rPr>
      <t>B</t>
    </r>
    <r>
      <rPr>
        <sz val="10"/>
        <rFont val="Times New Roman"/>
        <family val="1"/>
      </rPr>
      <t>)</t>
    </r>
  </si>
  <si>
    <r>
      <t xml:space="preserve">Eq. 7) </t>
    </r>
    <r>
      <rPr>
        <sz val="10"/>
        <rFont val="Times New Roman"/>
        <family val="1"/>
      </rPr>
      <t>Annual Replacement Cost (C</t>
    </r>
    <r>
      <rPr>
        <vertAlign val="subscript"/>
        <sz val="10"/>
        <rFont val="Times New Roman"/>
        <family val="1"/>
      </rPr>
      <t>BR</t>
    </r>
    <r>
      <rPr>
        <sz val="10"/>
        <rFont val="Times New Roman"/>
        <family val="1"/>
      </rPr>
      <t>)</t>
    </r>
  </si>
  <si>
    <r>
      <t>Eq. 5)</t>
    </r>
    <r>
      <rPr>
        <sz val="10"/>
        <rFont val="Times New Roman"/>
        <family val="1"/>
      </rPr>
      <t xml:space="preserve"> Quantity (n</t>
    </r>
    <r>
      <rPr>
        <vertAlign val="subscript"/>
        <sz val="10"/>
        <rFont val="Times New Roman"/>
        <family val="1"/>
      </rPr>
      <t>TB</t>
    </r>
    <r>
      <rPr>
        <sz val="10"/>
        <rFont val="Times New Roman"/>
        <family val="1"/>
      </rPr>
      <t>)</t>
    </r>
  </si>
  <si>
    <r>
      <t xml:space="preserve">Eq. 8) </t>
    </r>
    <r>
      <rPr>
        <sz val="10"/>
        <rFont val="Times New Roman"/>
        <family val="1"/>
      </rPr>
      <t>Annual Maintenance Labor Cost (C</t>
    </r>
    <r>
      <rPr>
        <vertAlign val="subscript"/>
        <sz val="10"/>
        <rFont val="Times New Roman"/>
        <family val="1"/>
      </rPr>
      <t>BM</t>
    </r>
    <r>
      <rPr>
        <sz val="10"/>
        <rFont val="Times New Roman"/>
        <family val="1"/>
      </rPr>
      <t>)</t>
    </r>
  </si>
  <si>
    <r>
      <t xml:space="preserve">Eq. 9) </t>
    </r>
    <r>
      <rPr>
        <sz val="10"/>
        <rFont val="Times New Roman"/>
        <family val="1"/>
      </rPr>
      <t>Lighting Power (P</t>
    </r>
    <r>
      <rPr>
        <vertAlign val="subscript"/>
        <sz val="10"/>
        <rFont val="Times New Roman"/>
        <family val="1"/>
      </rPr>
      <t>L</t>
    </r>
    <r>
      <rPr>
        <sz val="10"/>
        <rFont val="Times New Roman"/>
        <family val="1"/>
      </rPr>
      <t>)</t>
    </r>
  </si>
  <si>
    <r>
      <t xml:space="preserve">Ballast/Driver </t>
    </r>
    <r>
      <rPr>
        <b/>
        <i/>
        <sz val="8"/>
        <color theme="4"/>
        <rFont val="Times New Roman"/>
        <family val="1"/>
      </rPr>
      <t>(Driver For LED Fixtures)</t>
    </r>
  </si>
  <si>
    <t>Lighting Analysis Template Apr. 2014a, style 2013b</t>
  </si>
  <si>
    <t>&lt;- HIDE A6-F6 IF NOT A REFRIGERATED SPACE</t>
  </si>
  <si>
    <t>&lt;-- Check light levels! Try to find expected or propsed fc off of fixture specification sheets online or wherever you can find them.</t>
  </si>
  <si>
    <t>Incandescent</t>
  </si>
  <si>
    <t>Halogen</t>
  </si>
  <si>
    <t>HPL</t>
  </si>
  <si>
    <t>T12 Fluourescent</t>
  </si>
  <si>
    <t>Compact Fluorescent</t>
  </si>
  <si>
    <t>Metal Halide</t>
  </si>
  <si>
    <t>T5 Fluorescent</t>
  </si>
  <si>
    <t>LPS</t>
  </si>
  <si>
    <t>Luminous Efficiency</t>
  </si>
  <si>
    <t>Record LED Research</t>
  </si>
  <si>
    <t>T8 Fluorescent</t>
  </si>
  <si>
    <t>Cree Lighting Research</t>
  </si>
  <si>
    <t>Typical Efficacy (lm/W)</t>
  </si>
  <si>
    <t>Usable Optical Light (lm/W)</t>
  </si>
  <si>
    <t>Output Factor Chart:</t>
  </si>
  <si>
    <r>
      <t xml:space="preserve">Eq. 10) </t>
    </r>
    <r>
      <rPr>
        <sz val="10"/>
        <rFont val="Times New Roman"/>
        <family val="1"/>
      </rPr>
      <t>Energy Use (E)</t>
    </r>
  </si>
  <si>
    <t>Lighting Efficacy</t>
  </si>
  <si>
    <r>
      <t>(η</t>
    </r>
    <r>
      <rPr>
        <vertAlign val="subscript"/>
        <sz val="10"/>
        <color theme="1"/>
        <rFont val="Times New Roman"/>
        <family val="1"/>
      </rPr>
      <t>l</t>
    </r>
    <r>
      <rPr>
        <sz val="10"/>
        <color theme="1"/>
        <rFont val="Times New Roman"/>
        <family val="1"/>
      </rPr>
      <t>)</t>
    </r>
  </si>
  <si>
    <t>&lt;- Hide this line if there are no notes</t>
  </si>
  <si>
    <t>&lt;- Hide if there are no notes.</t>
  </si>
  <si>
    <r>
      <t xml:space="preserve">Eq. 11) </t>
    </r>
    <r>
      <rPr>
        <sz val="10"/>
        <rFont val="Times New Roman"/>
        <family val="1"/>
      </rPr>
      <t>Total Lumens (l</t>
    </r>
    <r>
      <rPr>
        <vertAlign val="subscript"/>
        <sz val="10"/>
        <rFont val="Times New Roman"/>
        <family val="1"/>
      </rPr>
      <t>T</t>
    </r>
    <r>
      <rPr>
        <sz val="10"/>
        <rFont val="Times New Roman"/>
        <family val="1"/>
      </rPr>
      <t>)</t>
    </r>
  </si>
  <si>
    <r>
      <t xml:space="preserve">Eq. 12) </t>
    </r>
    <r>
      <rPr>
        <sz val="10"/>
        <rFont val="Times New Roman"/>
        <family val="1"/>
      </rPr>
      <t>Proposed Foot-candles (FC)</t>
    </r>
  </si>
  <si>
    <r>
      <t xml:space="preserve">Eq. 13) </t>
    </r>
    <r>
      <rPr>
        <sz val="10"/>
        <rFont val="Times New Roman"/>
        <family val="1"/>
      </rPr>
      <t>Lighting Efficiency (</t>
    </r>
    <r>
      <rPr>
        <sz val="10"/>
        <rFont val="Calibri"/>
        <family val="2"/>
      </rPr>
      <t>ƞ</t>
    </r>
    <r>
      <rPr>
        <vertAlign val="subscript"/>
        <sz val="10"/>
        <rFont val="Calibri"/>
        <family val="2"/>
      </rPr>
      <t>L</t>
    </r>
    <r>
      <rPr>
        <sz val="10"/>
        <rFont val="Calibri"/>
        <family val="2"/>
      </rPr>
      <t>)</t>
    </r>
  </si>
  <si>
    <r>
      <t xml:space="preserve">Eq. 14) </t>
    </r>
    <r>
      <rPr>
        <sz val="10"/>
        <rFont val="Times New Roman"/>
        <family val="1"/>
      </rPr>
      <t>Demand Cost (C</t>
    </r>
    <r>
      <rPr>
        <vertAlign val="subscript"/>
        <sz val="10"/>
        <rFont val="Times New Roman"/>
        <family val="1"/>
      </rPr>
      <t>D</t>
    </r>
    <r>
      <rPr>
        <sz val="10"/>
        <rFont val="Times New Roman"/>
        <family val="1"/>
      </rPr>
      <t>)</t>
    </r>
  </si>
  <si>
    <r>
      <t xml:space="preserve">Eq. 15) </t>
    </r>
    <r>
      <rPr>
        <sz val="10"/>
        <rFont val="Times New Roman"/>
        <family val="1"/>
      </rPr>
      <t>Energy Cost (C</t>
    </r>
    <r>
      <rPr>
        <vertAlign val="subscript"/>
        <sz val="10"/>
        <rFont val="Times New Roman"/>
        <family val="1"/>
      </rPr>
      <t>E</t>
    </r>
    <r>
      <rPr>
        <sz val="10"/>
        <rFont val="Times New Roman"/>
        <family val="1"/>
      </rPr>
      <t>)</t>
    </r>
  </si>
  <si>
    <r>
      <t xml:space="preserve">Eq. 16) </t>
    </r>
    <r>
      <rPr>
        <sz val="10"/>
        <rFont val="Times New Roman"/>
        <family val="1"/>
      </rPr>
      <t>Maintenance Material Cost (C</t>
    </r>
    <r>
      <rPr>
        <vertAlign val="subscript"/>
        <sz val="10"/>
        <rFont val="Times New Roman"/>
        <family val="1"/>
      </rPr>
      <t>MM</t>
    </r>
    <r>
      <rPr>
        <sz val="10"/>
        <rFont val="Times New Roman"/>
        <family val="1"/>
      </rPr>
      <t>)</t>
    </r>
  </si>
  <si>
    <r>
      <t xml:space="preserve">Eq. 17) </t>
    </r>
    <r>
      <rPr>
        <sz val="10"/>
        <rFont val="Times New Roman"/>
        <family val="1"/>
      </rPr>
      <t>Maintenance Labor Cost (C</t>
    </r>
    <r>
      <rPr>
        <vertAlign val="subscript"/>
        <sz val="10"/>
        <rFont val="Times New Roman"/>
        <family val="1"/>
      </rPr>
      <t>ML</t>
    </r>
    <r>
      <rPr>
        <sz val="10"/>
        <rFont val="Times New Roman"/>
        <family val="1"/>
      </rPr>
      <t>)</t>
    </r>
  </si>
  <si>
    <r>
      <t xml:space="preserve">Eq. 18) </t>
    </r>
    <r>
      <rPr>
        <sz val="10"/>
        <rFont val="Times New Roman"/>
        <family val="1"/>
      </rPr>
      <t>Total Operating Cost (C</t>
    </r>
    <r>
      <rPr>
        <vertAlign val="subscript"/>
        <sz val="10"/>
        <rFont val="Times New Roman"/>
        <family val="1"/>
      </rPr>
      <t>TOp</t>
    </r>
    <r>
      <rPr>
        <sz val="10"/>
        <rFont val="Times New Roman"/>
        <family val="1"/>
      </rPr>
      <t>)</t>
    </r>
  </si>
  <si>
    <r>
      <t xml:space="preserve">Eq. 19) </t>
    </r>
    <r>
      <rPr>
        <sz val="10"/>
        <rFont val="Times New Roman"/>
        <family val="1"/>
      </rPr>
      <t>Materials Cost (C</t>
    </r>
    <r>
      <rPr>
        <vertAlign val="subscript"/>
        <sz val="10"/>
        <rFont val="Times New Roman"/>
        <family val="1"/>
      </rPr>
      <t>M</t>
    </r>
    <r>
      <rPr>
        <sz val="10"/>
        <rFont val="Times New Roman"/>
        <family val="1"/>
      </rPr>
      <t>)</t>
    </r>
  </si>
  <si>
    <r>
      <t xml:space="preserve">Eq. 20) </t>
    </r>
    <r>
      <rPr>
        <sz val="10"/>
        <rFont val="Times New Roman"/>
        <family val="1"/>
      </rPr>
      <t>Labor Cost (C</t>
    </r>
    <r>
      <rPr>
        <vertAlign val="subscript"/>
        <sz val="10"/>
        <rFont val="Times New Roman"/>
        <family val="1"/>
      </rPr>
      <t>L</t>
    </r>
    <r>
      <rPr>
        <sz val="10"/>
        <rFont val="Times New Roman"/>
        <family val="1"/>
      </rPr>
      <t>)</t>
    </r>
  </si>
  <si>
    <r>
      <t xml:space="preserve">Eq. 21) </t>
    </r>
    <r>
      <rPr>
        <sz val="10"/>
        <rFont val="Times New Roman"/>
        <family val="1"/>
      </rPr>
      <t>Total Implementation Cost (C</t>
    </r>
    <r>
      <rPr>
        <vertAlign val="subscript"/>
        <sz val="10"/>
        <rFont val="Times New Roman"/>
        <family val="1"/>
      </rPr>
      <t>I</t>
    </r>
    <r>
      <rPr>
        <sz val="10"/>
        <rFont val="Times New Roman"/>
        <family val="1"/>
      </rPr>
      <t>)</t>
    </r>
  </si>
  <si>
    <r>
      <t xml:space="preserve">Eq. 22) </t>
    </r>
    <r>
      <rPr>
        <sz val="10"/>
        <rFont val="Times New Roman"/>
        <family val="1"/>
      </rPr>
      <t>Cost Savings (S)</t>
    </r>
  </si>
  <si>
    <r>
      <t xml:space="preserve">Eq. 23) </t>
    </r>
    <r>
      <rPr>
        <sz val="10"/>
        <rFont val="Times New Roman"/>
        <family val="1"/>
      </rPr>
      <t>Simple Payback (t</t>
    </r>
    <r>
      <rPr>
        <vertAlign val="subscript"/>
        <sz val="10"/>
        <rFont val="Times New Roman"/>
        <family val="1"/>
      </rPr>
      <t>PB</t>
    </r>
    <r>
      <rPr>
        <sz val="10"/>
        <rFont val="Times New Roman"/>
        <family val="1"/>
      </rPr>
      <t>)</t>
    </r>
  </si>
  <si>
    <r>
      <rPr>
        <sz val="10"/>
        <color theme="1"/>
        <rFont val="Times New Roman"/>
        <family val="1"/>
      </rPr>
      <t>(E)</t>
    </r>
    <r>
      <rPr>
        <b/>
        <sz val="10"/>
        <color theme="1"/>
        <rFont val="Times New Roman"/>
        <family val="1"/>
      </rPr>
      <t>(Eq. 10)</t>
    </r>
  </si>
  <si>
    <r>
      <t>(l</t>
    </r>
    <r>
      <rPr>
        <vertAlign val="subscript"/>
        <sz val="10"/>
        <color theme="1"/>
        <rFont val="Times New Roman"/>
        <family val="1"/>
      </rPr>
      <t>T</t>
    </r>
    <r>
      <rPr>
        <sz val="10"/>
        <color theme="1"/>
        <rFont val="Times New Roman"/>
        <family val="1"/>
      </rPr>
      <t>)</t>
    </r>
    <r>
      <rPr>
        <b/>
        <sz val="10"/>
        <color theme="1"/>
        <rFont val="Times New Roman"/>
        <family val="1"/>
      </rPr>
      <t>(Eq. 11)</t>
    </r>
  </si>
  <si>
    <r>
      <t>(FC)</t>
    </r>
    <r>
      <rPr>
        <b/>
        <sz val="10"/>
        <color theme="1"/>
        <rFont val="Times New Roman"/>
        <family val="1"/>
      </rPr>
      <t>(Eq. 12)</t>
    </r>
  </si>
  <si>
    <r>
      <t>(L</t>
    </r>
    <r>
      <rPr>
        <vertAlign val="subscript"/>
        <sz val="10"/>
        <color theme="1"/>
        <rFont val="Times New Roman"/>
        <family val="1"/>
      </rPr>
      <t>E</t>
    </r>
    <r>
      <rPr>
        <sz val="10"/>
        <color theme="1"/>
        <rFont val="Times New Roman"/>
        <family val="1"/>
      </rPr>
      <t>)</t>
    </r>
    <r>
      <rPr>
        <b/>
        <sz val="10"/>
        <color theme="1"/>
        <rFont val="Times New Roman"/>
        <family val="1"/>
      </rPr>
      <t>(Eq. 13)</t>
    </r>
  </si>
  <si>
    <r>
      <t>(C</t>
    </r>
    <r>
      <rPr>
        <vertAlign val="subscript"/>
        <sz val="10"/>
        <color theme="1"/>
        <rFont val="Times New Roman"/>
        <family val="1"/>
      </rPr>
      <t>D</t>
    </r>
    <r>
      <rPr>
        <sz val="10"/>
        <color theme="1"/>
        <rFont val="Times New Roman"/>
        <family val="1"/>
      </rPr>
      <t>)</t>
    </r>
    <r>
      <rPr>
        <b/>
        <sz val="10"/>
        <color theme="1"/>
        <rFont val="Times New Roman"/>
        <family val="1"/>
      </rPr>
      <t>(Eq. 14)</t>
    </r>
  </si>
  <si>
    <r>
      <t>(C</t>
    </r>
    <r>
      <rPr>
        <vertAlign val="subscript"/>
        <sz val="10"/>
        <color theme="1"/>
        <rFont val="Times New Roman"/>
        <family val="1"/>
      </rPr>
      <t>E</t>
    </r>
    <r>
      <rPr>
        <sz val="10"/>
        <color theme="1"/>
        <rFont val="Times New Roman"/>
        <family val="1"/>
      </rPr>
      <t>)</t>
    </r>
    <r>
      <rPr>
        <b/>
        <sz val="10"/>
        <color theme="1"/>
        <rFont val="Times New Roman"/>
        <family val="1"/>
      </rPr>
      <t>(Eq. 15)</t>
    </r>
  </si>
  <si>
    <r>
      <t>(C</t>
    </r>
    <r>
      <rPr>
        <vertAlign val="subscript"/>
        <sz val="9"/>
        <color theme="1"/>
        <rFont val="Times New Roman"/>
        <family val="1"/>
      </rPr>
      <t>MM</t>
    </r>
    <r>
      <rPr>
        <sz val="9"/>
        <color theme="1"/>
        <rFont val="Times New Roman"/>
        <family val="1"/>
      </rPr>
      <t>)</t>
    </r>
    <r>
      <rPr>
        <b/>
        <sz val="9"/>
        <color theme="1"/>
        <rFont val="Times New Roman"/>
        <family val="1"/>
      </rPr>
      <t>(Eq. 16)</t>
    </r>
  </si>
  <si>
    <r>
      <t>(C</t>
    </r>
    <r>
      <rPr>
        <vertAlign val="subscript"/>
        <sz val="9"/>
        <color theme="1"/>
        <rFont val="Times New Roman"/>
        <family val="1"/>
      </rPr>
      <t>ML</t>
    </r>
    <r>
      <rPr>
        <sz val="9"/>
        <color theme="1"/>
        <rFont val="Times New Roman"/>
        <family val="1"/>
      </rPr>
      <t>)</t>
    </r>
    <r>
      <rPr>
        <b/>
        <sz val="9"/>
        <color theme="1"/>
        <rFont val="Times New Roman"/>
        <family val="1"/>
      </rPr>
      <t>(Eq. 17)</t>
    </r>
  </si>
  <si>
    <r>
      <t>(C</t>
    </r>
    <r>
      <rPr>
        <vertAlign val="subscript"/>
        <sz val="9"/>
        <color theme="1"/>
        <rFont val="Times New Roman"/>
        <family val="1"/>
      </rPr>
      <t>TOp</t>
    </r>
    <r>
      <rPr>
        <sz val="9"/>
        <color theme="1"/>
        <rFont val="Times New Roman"/>
        <family val="1"/>
      </rPr>
      <t>)</t>
    </r>
    <r>
      <rPr>
        <b/>
        <sz val="9"/>
        <color theme="1"/>
        <rFont val="Times New Roman"/>
        <family val="1"/>
      </rPr>
      <t>(Eq. 18)</t>
    </r>
  </si>
  <si>
    <r>
      <t>(C</t>
    </r>
    <r>
      <rPr>
        <vertAlign val="subscript"/>
        <sz val="10"/>
        <color theme="1"/>
        <rFont val="Times New Roman"/>
        <family val="1"/>
      </rPr>
      <t>M</t>
    </r>
    <r>
      <rPr>
        <sz val="10"/>
        <color theme="1"/>
        <rFont val="Times New Roman"/>
        <family val="1"/>
      </rPr>
      <t>)</t>
    </r>
    <r>
      <rPr>
        <b/>
        <sz val="10"/>
        <color theme="1"/>
        <rFont val="Times New Roman"/>
        <family val="1"/>
      </rPr>
      <t>(Eq. 19)</t>
    </r>
  </si>
  <si>
    <r>
      <t>(C</t>
    </r>
    <r>
      <rPr>
        <vertAlign val="subscript"/>
        <sz val="10"/>
        <color theme="1"/>
        <rFont val="Times New Roman"/>
        <family val="1"/>
      </rPr>
      <t>LB</t>
    </r>
    <r>
      <rPr>
        <sz val="10"/>
        <color theme="1"/>
        <rFont val="Times New Roman"/>
        <family val="1"/>
      </rPr>
      <t>)</t>
    </r>
    <r>
      <rPr>
        <b/>
        <sz val="10"/>
        <color theme="1"/>
        <rFont val="Times New Roman"/>
        <family val="1"/>
      </rPr>
      <t>(Eq. 20)</t>
    </r>
  </si>
  <si>
    <r>
      <t>(C</t>
    </r>
    <r>
      <rPr>
        <vertAlign val="subscript"/>
        <sz val="10"/>
        <color theme="1"/>
        <rFont val="Times New Roman"/>
        <family val="1"/>
      </rPr>
      <t>I</t>
    </r>
    <r>
      <rPr>
        <sz val="10"/>
        <color theme="1"/>
        <rFont val="Times New Roman"/>
        <family val="1"/>
      </rPr>
      <t>)</t>
    </r>
    <r>
      <rPr>
        <b/>
        <sz val="10"/>
        <color theme="1"/>
        <rFont val="Times New Roman"/>
        <family val="1"/>
      </rPr>
      <t>(Eq. 21)</t>
    </r>
  </si>
  <si>
    <r>
      <t>(S)</t>
    </r>
    <r>
      <rPr>
        <b/>
        <sz val="10"/>
        <color theme="1"/>
        <rFont val="Times New Roman"/>
        <family val="1"/>
      </rPr>
      <t>(Eq. 22)</t>
    </r>
  </si>
  <si>
    <r>
      <t>(t</t>
    </r>
    <r>
      <rPr>
        <vertAlign val="subscript"/>
        <sz val="10"/>
        <color theme="1"/>
        <rFont val="Times New Roman"/>
        <family val="1"/>
      </rPr>
      <t>PB</t>
    </r>
    <r>
      <rPr>
        <sz val="10"/>
        <color theme="1"/>
        <rFont val="Times New Roman"/>
        <family val="1"/>
      </rPr>
      <t>)</t>
    </r>
    <r>
      <rPr>
        <b/>
        <sz val="10"/>
        <color theme="1"/>
        <rFont val="Times New Roman"/>
        <family val="1"/>
      </rPr>
      <t>(Eq. 23)</t>
    </r>
  </si>
  <si>
    <t>Consider combining these tables into one page if they are small enough!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</si>
</sst>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quot;#,##0.00"/>
    <numFmt numFmtId="169" formatCode="&quot;$&quot;#,##0;[Red]\-&quot;$&quot;#,##0"/>
    <numFmt numFmtId="170" formatCode="#,##0;[Red]\-#,##0"/>
    <numFmt numFmtId="171" formatCode="0.0%;[Red]\-0.0%"/>
    <numFmt numFmtId="172" formatCode="#,##0.0000"/>
  </numFmts>
  <fonts count="55" x14ac:knownFonts="1">
    <font>
      <sz val="10"/>
      <color theme="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sz val="10"/>
      <color indexed="8"/>
      <name val="Calibri"/>
      <family val="2"/>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sz val="10"/>
      <color indexed="8"/>
      <name val="Times New Roman"/>
      <family val="1"/>
    </font>
    <font>
      <b/>
      <sz val="11"/>
      <color rgb="FFFF0000"/>
      <name val="Times New Roman"/>
      <family val="1"/>
    </font>
    <font>
      <sz val="10"/>
      <color indexed="8"/>
      <name val="Times New Roman"/>
      <family val="1"/>
    </font>
    <font>
      <b/>
      <i/>
      <sz val="10"/>
      <color theme="4"/>
      <name val="Cambria"/>
      <family val="1"/>
      <scheme val="major"/>
    </font>
    <font>
      <u/>
      <sz val="10"/>
      <color theme="11"/>
      <name val="Times New Roman"/>
      <family val="1"/>
    </font>
    <font>
      <u/>
      <sz val="10"/>
      <color theme="10"/>
      <name val="Times New Roman"/>
      <family val="1"/>
    </font>
    <font>
      <i/>
      <sz val="8"/>
      <color theme="1" tint="0.249977111117893"/>
      <name val="Times New Roman"/>
      <family val="1"/>
    </font>
    <font>
      <i/>
      <sz val="8"/>
      <color theme="1"/>
      <name val="Times New Roman"/>
      <family val="1"/>
    </font>
    <font>
      <i/>
      <sz val="9"/>
      <color theme="1"/>
      <name val="Times New Roman"/>
      <family val="1"/>
    </font>
    <font>
      <sz val="12"/>
      <color theme="1"/>
      <name val="Courier"/>
      <family val="3"/>
    </font>
    <font>
      <vertAlign val="subscript"/>
      <sz val="10"/>
      <color theme="1"/>
      <name val="Times New Roman"/>
      <family val="1"/>
    </font>
    <font>
      <sz val="10"/>
      <color rgb="FFFF0000"/>
      <name val="Times New Roman"/>
      <family val="1"/>
    </font>
    <font>
      <sz val="11"/>
      <color rgb="FFFF0000"/>
      <name val="Times New Roman"/>
      <family val="1"/>
    </font>
    <font>
      <vertAlign val="subscript"/>
      <sz val="10"/>
      <name val="Times New Roman"/>
      <family val="1"/>
    </font>
    <font>
      <sz val="10"/>
      <name val="Calibri"/>
      <family val="2"/>
    </font>
    <font>
      <vertAlign val="subscript"/>
      <sz val="10"/>
      <name val="Calibri"/>
      <family val="2"/>
    </font>
    <font>
      <b/>
      <i/>
      <sz val="8"/>
      <color theme="4"/>
      <name val="Times New Roman"/>
      <family val="1"/>
    </font>
    <font>
      <b/>
      <sz val="12"/>
      <color rgb="FFFF0000"/>
      <name val="Times New Roman"/>
      <family val="1"/>
    </font>
  </fonts>
  <fills count="38">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auto="1"/>
      </top>
      <bottom style="hair">
        <color auto="1"/>
      </bottom>
      <diagonal/>
    </border>
    <border>
      <left/>
      <right/>
      <top style="thin">
        <color indexed="64"/>
      </top>
      <bottom/>
      <diagonal/>
    </border>
    <border>
      <left/>
      <right/>
      <top style="hair">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auto="1"/>
      </top>
      <bottom style="thin">
        <color auto="1"/>
      </bottom>
      <diagonal/>
    </border>
  </borders>
  <cellStyleXfs count="3789">
    <xf numFmtId="3" fontId="0" fillId="0" borderId="0"/>
    <xf numFmtId="3" fontId="9" fillId="36" borderId="1">
      <alignment horizontal="right" vertical="center"/>
      <protection locked="0"/>
    </xf>
    <xf numFmtId="9" fontId="4" fillId="0" borderId="0" applyFont="0" applyFill="0" applyBorder="0" applyAlignment="0" applyProtection="0"/>
    <xf numFmtId="0" fontId="7" fillId="2" borderId="1">
      <alignment horizontal="left" vertical="center" indent="1"/>
    </xf>
    <xf numFmtId="0" fontId="10" fillId="0" borderId="2">
      <alignment vertical="center"/>
    </xf>
    <xf numFmtId="0" fontId="11" fillId="0" borderId="3">
      <alignment vertical="center"/>
    </xf>
    <xf numFmtId="0" fontId="12" fillId="0" borderId="0">
      <alignment horizontal="left" vertical="center" indent="1"/>
    </xf>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4"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3" fontId="8" fillId="0" borderId="0">
      <alignment horizontal="right" vertical="center"/>
    </xf>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4" fillId="33" borderId="0" applyNumberFormat="0" applyBorder="0" applyAlignment="0" applyProtection="0"/>
    <xf numFmtId="0" fontId="25" fillId="0" borderId="0">
      <alignment horizontal="left" vertical="center"/>
    </xf>
    <xf numFmtId="0" fontId="25" fillId="0" borderId="0">
      <alignment horizontal="right" vertical="center"/>
    </xf>
    <xf numFmtId="0" fontId="35" fillId="0" borderId="0">
      <alignment horizontal="right" vertical="center"/>
    </xf>
    <xf numFmtId="0" fontId="26" fillId="0" borderId="10">
      <alignment horizontal="left" vertical="center" indent="1"/>
    </xf>
    <xf numFmtId="0" fontId="28" fillId="0" borderId="0"/>
    <xf numFmtId="0" fontId="27" fillId="0" borderId="0">
      <alignment vertical="top" wrapText="1"/>
    </xf>
    <xf numFmtId="43" fontId="30" fillId="0" borderId="0" applyFont="0" applyFill="0" applyBorder="0" applyAlignment="0" applyProtection="0"/>
    <xf numFmtId="0" fontId="33" fillId="0" borderId="0" applyNumberFormat="0" applyFill="0" applyBorder="0" applyProtection="0"/>
    <xf numFmtId="3" fontId="12" fillId="0" borderId="0">
      <alignment horizontal="right" vertical="center"/>
    </xf>
    <xf numFmtId="3" fontId="34" fillId="0" borderId="10">
      <alignment horizontal="left" vertical="center" indent="1"/>
    </xf>
    <xf numFmtId="37" fontId="28" fillId="0" borderId="0" applyFont="0" applyFill="0" applyBorder="0" applyAlignment="0" applyProtection="0"/>
    <xf numFmtId="6" fontId="28" fillId="0" borderId="0" applyFont="0" applyFill="0" applyBorder="0" applyAlignment="0" applyProtection="0"/>
    <xf numFmtId="0" fontId="3" fillId="0" borderId="0"/>
    <xf numFmtId="0" fontId="11" fillId="0" borderId="3">
      <alignment vertical="center"/>
    </xf>
    <xf numFmtId="0" fontId="7" fillId="2" borderId="1">
      <alignment horizontal="left" vertical="center" indent="1"/>
    </xf>
    <xf numFmtId="0" fontId="10" fillId="0" borderId="2">
      <alignment vertical="center"/>
    </xf>
    <xf numFmtId="0" fontId="12" fillId="0" borderId="0">
      <alignment horizontal="left" vertical="center" indent="1"/>
    </xf>
    <xf numFmtId="0" fontId="13" fillId="0" borderId="0" applyNumberForma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4" fillId="3"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5" fillId="0" borderId="9" applyNumberFormat="0" applyFill="0" applyAlignment="0" applyProtection="0"/>
    <xf numFmtId="9" fontId="2" fillId="0" borderId="0" applyFont="0" applyFill="0" applyBorder="0" applyAlignment="0" applyProtection="0"/>
    <xf numFmtId="0" fontId="14" fillId="3" borderId="0" applyNumberFormat="0" applyBorder="0" applyAlignment="0" applyProtection="0"/>
    <xf numFmtId="43" fontId="30"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20" fillId="0" borderId="6" applyNumberFormat="0" applyFill="0" applyAlignment="0" applyProtection="0"/>
    <xf numFmtId="41" fontId="2" fillId="0" borderId="0" applyFont="0" applyFill="0" applyBorder="0" applyAlignment="0" applyProtection="0"/>
    <xf numFmtId="0" fontId="17" fillId="6" borderId="4"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9" fillId="7" borderId="4" applyNumberFormat="0" applyAlignment="0" applyProtection="0"/>
    <xf numFmtId="0" fontId="15" fillId="4" borderId="0" applyNumberFormat="0" applyBorder="0" applyAlignment="0" applyProtection="0"/>
    <xf numFmtId="0" fontId="23" fillId="0" borderId="0" applyNumberFormat="0" applyFill="0" applyBorder="0" applyAlignment="0" applyProtection="0"/>
    <xf numFmtId="37" fontId="28" fillId="0" borderId="0" applyFont="0" applyFill="0" applyBorder="0" applyAlignment="0" applyProtection="0"/>
    <xf numFmtId="6" fontId="28" fillId="0" borderId="0" applyFont="0" applyFill="0" applyBorder="0" applyAlignment="0" applyProtection="0"/>
    <xf numFmtId="0" fontId="16" fillId="5" borderId="0" applyNumberFormat="0" applyBorder="0" applyAlignment="0" applyProtection="0"/>
    <xf numFmtId="9" fontId="2" fillId="0" borderId="0" applyFont="0" applyFill="0" applyBorder="0" applyAlignment="0" applyProtection="0"/>
    <xf numFmtId="0" fontId="18" fillId="7" borderId="5" applyNumberFormat="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1" fillId="8" borderId="7"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13" fillId="0" borderId="0" applyNumberFormat="0" applyFill="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5" fillId="0" borderId="9" applyNumberFormat="0" applyFill="0" applyAlignment="0" applyProtection="0"/>
    <xf numFmtId="0" fontId="19" fillId="7" borderId="4" applyNumberFormat="0" applyAlignment="0" applyProtection="0"/>
    <xf numFmtId="0" fontId="17" fillId="6" borderId="4" applyNumberFormat="0" applyAlignment="0" applyProtection="0"/>
    <xf numFmtId="0" fontId="16" fillId="5" borderId="0" applyNumberFormat="0" applyBorder="0" applyAlignment="0" applyProtection="0"/>
    <xf numFmtId="0" fontId="2" fillId="9" borderId="8" applyNumberFormat="0" applyFont="0" applyAlignment="0" applyProtection="0"/>
    <xf numFmtId="0" fontId="18" fillId="7" borderId="5" applyNumberFormat="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37" fontId="28" fillId="0" borderId="0" applyFont="0" applyFill="0" applyBorder="0" applyAlignment="0" applyProtection="0"/>
    <xf numFmtId="6" fontId="28" fillId="0" borderId="0" applyFont="0" applyFill="0" applyBorder="0" applyAlignment="0" applyProtection="0"/>
    <xf numFmtId="0" fontId="14" fillId="3" borderId="0" applyNumberFormat="0" applyBorder="0" applyAlignment="0" applyProtection="0"/>
    <xf numFmtId="0" fontId="16" fillId="5" borderId="0" applyNumberFormat="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5" fillId="0" borderId="9" applyNumberFormat="0" applyFill="0" applyAlignment="0" applyProtection="0"/>
    <xf numFmtId="0" fontId="2" fillId="9" borderId="8" applyNumberFormat="0" applyFon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43" fontId="30" fillId="0" borderId="0" applyFont="0" applyFill="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20" fillId="0" borderId="6" applyNumberFormat="0" applyFill="0" applyAlignment="0" applyProtection="0"/>
    <xf numFmtId="0" fontId="18" fillId="7" borderId="5" applyNumberFormat="0" applyAlignment="0" applyProtection="0"/>
    <xf numFmtId="0" fontId="17" fillId="6" borderId="4" applyNumberFormat="0" applyAlignment="0" applyProtection="0"/>
    <xf numFmtId="9" fontId="2" fillId="0" borderId="0" applyFont="0" applyFill="0" applyBorder="0" applyAlignment="0" applyProtection="0"/>
    <xf numFmtId="0" fontId="19" fillId="7" borderId="4" applyNumberFormat="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1" fillId="8" borderId="7" applyNumberFormat="0" applyAlignment="0" applyProtection="0"/>
    <xf numFmtId="0" fontId="17" fillId="6" borderId="4" applyNumberFormat="0" applyAlignment="0" applyProtection="0"/>
    <xf numFmtId="41" fontId="2" fillId="0" borderId="0" applyFont="0" applyFill="0" applyBorder="0" applyAlignment="0" applyProtection="0"/>
    <xf numFmtId="0" fontId="14" fillId="3"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16" fillId="5" borderId="0" applyNumberFormat="0" applyBorder="0" applyAlignment="0" applyProtection="0"/>
    <xf numFmtId="37" fontId="28" fillId="0" borderId="0" applyFont="0" applyFill="0" applyBorder="0" applyAlignment="0" applyProtection="0"/>
    <xf numFmtId="6" fontId="28" fillId="0" borderId="0" applyFont="0" applyFill="0" applyBorder="0" applyAlignment="0" applyProtection="0"/>
    <xf numFmtId="0" fontId="13" fillId="0" borderId="0" applyNumberFormat="0" applyFill="0" applyBorder="0" applyAlignment="0" applyProtection="0"/>
    <xf numFmtId="0" fontId="15" fillId="4" borderId="0" applyNumberFormat="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7" fontId="28" fillId="0" borderId="0" applyFont="0" applyFill="0" applyBorder="0" applyAlignment="0" applyProtection="0"/>
    <xf numFmtId="6" fontId="28"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37" fontId="28" fillId="0" borderId="0" applyFont="0" applyFill="0" applyBorder="0" applyAlignment="0" applyProtection="0"/>
    <xf numFmtId="9" fontId="28"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7" fillId="6" borderId="4" applyNumberFormat="0" applyAlignment="0" applyProtection="0"/>
    <xf numFmtId="0" fontId="16" fillId="5" borderId="0" applyNumberFormat="0" applyBorder="0" applyAlignment="0" applyProtection="0"/>
    <xf numFmtId="0" fontId="15" fillId="4" borderId="0" applyNumberFormat="0" applyBorder="0" applyAlignment="0" applyProtection="0"/>
    <xf numFmtId="9" fontId="1" fillId="0" borderId="0" applyFont="0" applyFill="0" applyBorder="0" applyAlignment="0" applyProtection="0"/>
    <xf numFmtId="165" fontId="12" fillId="0" borderId="0">
      <alignment horizontal="right" vertical="center"/>
    </xf>
    <xf numFmtId="0" fontId="1" fillId="27"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1" fontId="1" fillId="0" borderId="0" applyFont="0" applyFill="0" applyBorder="0" applyAlignment="0" applyProtection="0"/>
    <xf numFmtId="0" fontId="1" fillId="32" borderId="0" applyNumberFormat="0" applyBorder="0" applyAlignment="0" applyProtection="0"/>
    <xf numFmtId="0" fontId="1" fillId="15" borderId="0" applyNumberFormat="0" applyBorder="0" applyAlignment="0" applyProtection="0"/>
    <xf numFmtId="0" fontId="13" fillId="0" borderId="0" applyNumberFormat="0" applyFill="0" applyBorder="0" applyAlignment="0" applyProtection="0"/>
    <xf numFmtId="0" fontId="19" fillId="7" borderId="4" applyNumberFormat="0" applyAlignment="0" applyProtection="0"/>
    <xf numFmtId="0" fontId="24" fillId="14" borderId="0" applyNumberFormat="0" applyBorder="0" applyAlignment="0" applyProtection="0"/>
    <xf numFmtId="0" fontId="24" fillId="25"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8" fillId="7" borderId="5" applyNumberFormat="0" applyAlignment="0" applyProtection="0"/>
    <xf numFmtId="41" fontId="1" fillId="0" borderId="0" applyFont="0" applyFill="0" applyBorder="0" applyAlignment="0" applyProtection="0"/>
    <xf numFmtId="0" fontId="24" fillId="3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2" fontId="1"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41" fontId="1" fillId="0" borderId="0" applyFont="0" applyFill="0" applyBorder="0" applyAlignment="0" applyProtection="0"/>
    <xf numFmtId="0" fontId="1" fillId="16"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11"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 fillId="19"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1" fillId="2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0" fillId="0" borderId="6" applyNumberFormat="0" applyFill="0" applyAlignment="0" applyProtection="0"/>
    <xf numFmtId="0" fontId="24" fillId="21"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43" fontId="1" fillId="0" borderId="0" applyFont="0" applyFill="0" applyBorder="0" applyAlignment="0" applyProtection="0"/>
    <xf numFmtId="0" fontId="18" fillId="7" borderId="5" applyNumberFormat="0" applyAlignment="0" applyProtection="0"/>
    <xf numFmtId="9" fontId="1" fillId="0" borderId="0" applyFont="0" applyFill="0" applyBorder="0" applyAlignment="0" applyProtection="0"/>
    <xf numFmtId="0" fontId="21" fillId="8" borderId="7" applyNumberFormat="0" applyAlignment="0" applyProtection="0"/>
    <xf numFmtId="0" fontId="24" fillId="22" borderId="0" applyNumberFormat="0" applyBorder="0" applyAlignment="0" applyProtection="0"/>
    <xf numFmtId="41" fontId="1" fillId="0" borderId="0" applyFont="0" applyFill="0" applyBorder="0" applyAlignment="0" applyProtection="0"/>
    <xf numFmtId="0" fontId="1" fillId="2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4" fillId="3" borderId="0" applyNumberFormat="0" applyBorder="0" applyAlignment="0" applyProtection="0"/>
    <xf numFmtId="0" fontId="1" fillId="2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5" fillId="4" borderId="0" applyNumberFormat="0" applyBorder="0" applyAlignment="0" applyProtection="0"/>
    <xf numFmtId="0" fontId="24" fillId="26"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1" fillId="8" borderId="7" applyNumberFormat="0" applyAlignment="0" applyProtection="0"/>
    <xf numFmtId="0" fontId="1" fillId="9" borderId="8" applyNumberFormat="0" applyFont="0" applyAlignment="0" applyProtection="0"/>
    <xf numFmtId="0" fontId="1" fillId="27"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1" fillId="24"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1" fillId="23" borderId="0" applyNumberFormat="0" applyBorder="0" applyAlignment="0" applyProtection="0"/>
    <xf numFmtId="0" fontId="1" fillId="28"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5" fillId="0" borderId="9" applyNumberFormat="0" applyFill="0" applyAlignment="0" applyProtection="0"/>
    <xf numFmtId="0" fontId="1" fillId="19" borderId="0" applyNumberFormat="0" applyBorder="0" applyAlignment="0" applyProtection="0"/>
    <xf numFmtId="0" fontId="16" fillId="5" borderId="0" applyNumberFormat="0" applyBorder="0" applyAlignment="0" applyProtection="0"/>
    <xf numFmtId="0" fontId="1" fillId="20" borderId="0" applyNumberFormat="0" applyBorder="0" applyAlignment="0" applyProtection="0"/>
    <xf numFmtId="0" fontId="24" fillId="10" borderId="0" applyNumberFormat="0" applyBorder="0" applyAlignment="0" applyProtection="0"/>
    <xf numFmtId="0" fontId="17" fillId="6" borderId="4" applyNumberFormat="0" applyAlignment="0" applyProtection="0"/>
    <xf numFmtId="0" fontId="1" fillId="28"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0" fillId="0" borderId="6" applyNumberFormat="0" applyFill="0" applyAlignment="0" applyProtection="0"/>
    <xf numFmtId="0" fontId="16" fillId="5" borderId="0" applyNumberFormat="0" applyBorder="0" applyAlignment="0" applyProtection="0"/>
    <xf numFmtId="0" fontId="17" fillId="6" borderId="4" applyNumberFormat="0" applyAlignment="0" applyProtection="0"/>
    <xf numFmtId="0" fontId="14" fillId="3"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9" fillId="7" borderId="4" applyNumberFormat="0" applyAlignment="0" applyProtection="0"/>
    <xf numFmtId="0" fontId="1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24" fillId="29"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8"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24" fillId="17"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4" borderId="0" applyNumberFormat="0" applyBorder="0" applyAlignment="0" applyProtection="0"/>
    <xf numFmtId="0" fontId="1" fillId="16"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 fillId="15" borderId="0" applyNumberFormat="0" applyBorder="0" applyAlignment="0" applyProtection="0"/>
    <xf numFmtId="0" fontId="18" fillId="7" borderId="5" applyNumberFormat="0" applyAlignment="0" applyProtection="0"/>
    <xf numFmtId="9"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4" borderId="0" applyNumberFormat="0" applyBorder="0" applyAlignment="0" applyProtection="0"/>
    <xf numFmtId="0" fontId="15" fillId="4" borderId="0" applyNumberFormat="0" applyBorder="0" applyAlignment="0" applyProtection="0"/>
    <xf numFmtId="0" fontId="1" fillId="16"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0" fillId="0" borderId="6" applyNumberFormat="0" applyFill="0" applyAlignment="0" applyProtection="0"/>
    <xf numFmtId="0" fontId="17" fillId="6" borderId="4" applyNumberFormat="0" applyAlignment="0" applyProtection="0"/>
    <xf numFmtId="0" fontId="16" fillId="5" borderId="0" applyNumberFormat="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4" fillId="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3" borderId="0" applyNumberFormat="0" applyBorder="0" applyAlignment="0" applyProtection="0"/>
    <xf numFmtId="0" fontId="24" fillId="30"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2"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1" borderId="0" applyNumberFormat="0" applyBorder="0" applyAlignment="0" applyProtection="0"/>
    <xf numFmtId="41" fontId="1" fillId="0" borderId="0" applyFont="0" applyFill="0" applyBorder="0" applyAlignment="0" applyProtection="0"/>
    <xf numFmtId="0" fontId="1" fillId="15"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20"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4" fillId="14"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9"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8" borderId="0" applyNumberFormat="0" applyBorder="0" applyAlignment="0" applyProtection="0"/>
    <xf numFmtId="0" fontId="1" fillId="12"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33" borderId="0" applyNumberFormat="0" applyBorder="0" applyAlignment="0" applyProtection="0"/>
    <xf numFmtId="41" fontId="1" fillId="0" borderId="0" applyFont="0" applyFill="0" applyBorder="0" applyAlignment="0" applyProtection="0"/>
    <xf numFmtId="0" fontId="1" fillId="11"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 fillId="32"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4" fillId="1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9" borderId="0" applyNumberFormat="0" applyBorder="0" applyAlignment="0" applyProtection="0"/>
    <xf numFmtId="0" fontId="1" fillId="31" borderId="0" applyNumberFormat="0" applyBorder="0" applyAlignment="0" applyProtection="0"/>
    <xf numFmtId="0" fontId="20" fillId="0" borderId="6" applyNumberFormat="0" applyFill="0" applyAlignment="0" applyProtection="0"/>
    <xf numFmtId="0" fontId="5" fillId="0" borderId="9"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4" fillId="30" borderId="0" applyNumberFormat="0" applyBorder="0" applyAlignment="0" applyProtection="0"/>
    <xf numFmtId="0" fontId="18" fillId="7" borderId="5" applyNumberFormat="0" applyAlignment="0" applyProtection="0"/>
    <xf numFmtId="0" fontId="21" fillId="8" borderId="7" applyNumberFormat="0" applyAlignment="0" applyProtection="0"/>
    <xf numFmtId="0" fontId="23" fillId="0" borderId="0" applyNumberForma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8" borderId="0" applyNumberFormat="0" applyBorder="0" applyAlignment="0" applyProtection="0"/>
    <xf numFmtId="0" fontId="21" fillId="8" borderId="7"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7"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8" fillId="7" borderId="5" applyNumberFormat="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22" fillId="0" borderId="0" applyNumberFormat="0" applyFill="0" applyBorder="0" applyAlignment="0" applyProtection="0"/>
    <xf numFmtId="41" fontId="1" fillId="0" borderId="0" applyFont="0" applyFill="0" applyBorder="0" applyAlignment="0" applyProtection="0"/>
    <xf numFmtId="0" fontId="19" fillId="7" borderId="4"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 fillId="9" borderId="8" applyNumberFormat="0" applyFont="0" applyAlignment="0" applyProtection="0"/>
    <xf numFmtId="0" fontId="5" fillId="0" borderId="9" applyNumberFormat="0" applyFill="0" applyAlignment="0" applyProtection="0"/>
    <xf numFmtId="0" fontId="21" fillId="8" borderId="7" applyNumberFormat="0" applyAlignment="0" applyProtection="0"/>
    <xf numFmtId="0" fontId="17" fillId="6" borderId="4" applyNumberFormat="0" applyAlignment="0" applyProtection="0"/>
    <xf numFmtId="9" fontId="1" fillId="0" borderId="0" applyFont="0" applyFill="0" applyBorder="0" applyAlignment="0" applyProtection="0"/>
    <xf numFmtId="0" fontId="20" fillId="0" borderId="6" applyNumberFormat="0" applyFill="0" applyAlignment="0" applyProtection="0"/>
    <xf numFmtId="0" fontId="18" fillId="7" borderId="5"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9" fontId="28" fillId="0" borderId="0" applyFont="0" applyFill="0" applyBorder="0" applyAlignment="0" applyProtection="0"/>
    <xf numFmtId="0" fontId="24" fillId="14" borderId="0" applyNumberFormat="0" applyBorder="0" applyAlignment="0" applyProtection="0"/>
    <xf numFmtId="0" fontId="20" fillId="0" borderId="6" applyNumberFormat="0" applyFill="0" applyAlignment="0" applyProtection="0"/>
    <xf numFmtId="9" fontId="1"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6" fontId="28"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165" fontId="28" fillId="0" borderId="0" applyFont="0" applyFill="0" applyBorder="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3" fontId="28" fillId="0" borderId="0" applyFont="0" applyFill="0" applyBorder="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42" fillId="0" borderId="0" applyNumberFormat="0" applyFill="0" applyBorder="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5" borderId="0" applyNumberFormat="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20" fillId="0" borderId="6" applyNumberFormat="0" applyFill="0" applyAlignment="0" applyProtection="0"/>
    <xf numFmtId="0" fontId="19" fillId="7" borderId="4" applyNumberFormat="0" applyAlignment="0" applyProtection="0"/>
    <xf numFmtId="42" fontId="1" fillId="0" borderId="0" applyFont="0" applyFill="0" applyBorder="0" applyAlignment="0" applyProtection="0"/>
    <xf numFmtId="37" fontId="28" fillId="0" borderId="0" applyFont="0" applyFill="0" applyBorder="0" applyAlignment="0" applyProtection="0"/>
    <xf numFmtId="6" fontId="28" fillId="0" borderId="0" applyFont="0" applyFill="0" applyBorder="0" applyAlignment="0" applyProtection="0"/>
    <xf numFmtId="0" fontId="1" fillId="9" borderId="8" applyNumberFormat="0" applyFont="0" applyAlignment="0" applyProtection="0"/>
    <xf numFmtId="0" fontId="14" fillId="3" borderId="0" applyNumberFormat="0" applyBorder="0" applyAlignment="0" applyProtection="0"/>
    <xf numFmtId="41" fontId="1" fillId="0" borderId="0" applyFont="0" applyFill="0" applyBorder="0" applyAlignment="0" applyProtection="0"/>
    <xf numFmtId="3" fontId="41"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5" fillId="4" borderId="0" applyNumberFormat="0" applyBorder="0" applyAlignment="0" applyProtection="0"/>
    <xf numFmtId="0" fontId="21" fillId="8" borderId="7" applyNumberFormat="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21" fillId="8" borderId="7"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5" fillId="0" borderId="9" applyNumberFormat="0" applyFill="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0" fontId="20" fillId="0" borderId="6" applyNumberFormat="0" applyFill="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42" fillId="0" borderId="0" applyNumberFormat="0" applyFill="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41" fontId="1" fillId="0" borderId="0" applyFont="0" applyFill="0" applyBorder="0" applyAlignment="0" applyProtection="0"/>
    <xf numFmtId="0" fontId="5" fillId="0" borderId="9" applyNumberFormat="0" applyFill="0" applyAlignment="0" applyProtection="0"/>
    <xf numFmtId="0" fontId="18" fillId="7" borderId="5" applyNumberFormat="0" applyAlignment="0" applyProtection="0"/>
    <xf numFmtId="0" fontId="23" fillId="0" borderId="0" applyNumberFormat="0" applyFill="0" applyBorder="0" applyAlignment="0" applyProtection="0"/>
    <xf numFmtId="0" fontId="16" fillId="5" borderId="0" applyNumberFormat="0" applyBorder="0" applyAlignment="0" applyProtection="0"/>
    <xf numFmtId="0" fontId="13" fillId="0" borderId="0" applyNumberFormat="0" applyFill="0" applyBorder="0" applyAlignment="0" applyProtection="0"/>
    <xf numFmtId="0" fontId="1" fillId="9" borderId="8" applyNumberFormat="0" applyFont="0" applyAlignment="0" applyProtection="0"/>
    <xf numFmtId="0" fontId="19" fillId="7" borderId="4" applyNumberFormat="0" applyAlignment="0" applyProtection="0"/>
    <xf numFmtId="0" fontId="18" fillId="7" borderId="5" applyNumberFormat="0" applyAlignment="0" applyProtection="0"/>
    <xf numFmtId="0" fontId="1" fillId="15" borderId="0" applyNumberFormat="0" applyBorder="0" applyAlignment="0" applyProtection="0"/>
    <xf numFmtId="0" fontId="22" fillId="0" borderId="0" applyNumberFormat="0" applyFill="0" applyBorder="0" applyAlignment="0" applyProtection="0"/>
    <xf numFmtId="3" fontId="41"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6" borderId="0" applyNumberFormat="0" applyBorder="0" applyAlignment="0" applyProtection="0"/>
    <xf numFmtId="0" fontId="17" fillId="6" borderId="4" applyNumberFormat="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21" fillId="8" borderId="7" applyNumberFormat="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42"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4" fillId="3" borderId="0" applyNumberFormat="0" applyBorder="0" applyAlignment="0" applyProtection="0"/>
    <xf numFmtId="42" fontId="1" fillId="0" borderId="0" applyFont="0" applyFill="0" applyBorder="0" applyAlignment="0" applyProtection="0"/>
    <xf numFmtId="0" fontId="20" fillId="0" borderId="6" applyNumberFormat="0" applyFill="0" applyAlignment="0" applyProtection="0"/>
    <xf numFmtId="37" fontId="28" fillId="0" borderId="0" applyFont="0" applyFill="0" applyBorder="0" applyAlignment="0" applyProtection="0"/>
    <xf numFmtId="6" fontId="28" fillId="0" borderId="0" applyFont="0" applyFill="0" applyBorder="0" applyAlignment="0" applyProtection="0"/>
    <xf numFmtId="0" fontId="23" fillId="0" borderId="0" applyNumberFormat="0" applyFill="0" applyBorder="0" applyAlignment="0" applyProtection="0"/>
    <xf numFmtId="3" fontId="41"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9" borderId="8" applyNumberFormat="0" applyFont="0" applyAlignment="0" applyProtection="0"/>
    <xf numFmtId="0" fontId="15" fillId="4" borderId="0" applyNumberFormat="0" applyBorder="0" applyAlignment="0" applyProtection="0"/>
    <xf numFmtId="0" fontId="21" fillId="8" borderId="7" applyNumberFormat="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0" fontId="21" fillId="8" borderId="7"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42" fillId="0" borderId="0" applyNumberFormat="0" applyFill="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41"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7" fontId="28" fillId="0" borderId="0" applyFont="0" applyFill="0" applyBorder="0" applyAlignment="0" applyProtection="0"/>
    <xf numFmtId="6" fontId="28"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cellStyleXfs>
  <cellXfs count="268">
    <xf numFmtId="3" fontId="0" fillId="0" borderId="0" xfId="0"/>
    <xf numFmtId="0" fontId="28" fillId="0" borderId="0" xfId="53"/>
    <xf numFmtId="0" fontId="25" fillId="0" borderId="0" xfId="50" applyAlignment="1">
      <alignment horizontal="center" vertical="center"/>
    </xf>
    <xf numFmtId="3" fontId="0" fillId="0" borderId="0" xfId="0" applyAlignment="1" applyProtection="1">
      <alignment vertical="center"/>
    </xf>
    <xf numFmtId="3" fontId="6" fillId="0" borderId="0" xfId="0" applyFont="1" applyAlignment="1" applyProtection="1">
      <alignment vertical="center"/>
    </xf>
    <xf numFmtId="3" fontId="0" fillId="0" borderId="0" xfId="0" applyFill="1" applyBorder="1" applyAlignment="1" applyProtection="1">
      <alignment vertical="center"/>
    </xf>
    <xf numFmtId="0" fontId="10" fillId="0" borderId="2" xfId="4">
      <alignment vertical="center"/>
    </xf>
    <xf numFmtId="3" fontId="27" fillId="0" borderId="0" xfId="0" applyFont="1" applyAlignment="1">
      <alignment horizontal="left" vertical="top" wrapText="1"/>
    </xf>
    <xf numFmtId="0" fontId="12" fillId="0" borderId="0" xfId="6">
      <alignment horizontal="left" vertical="center" indent="1"/>
    </xf>
    <xf numFmtId="3" fontId="0" fillId="0" borderId="0" xfId="0" applyAlignment="1">
      <alignment vertical="top"/>
    </xf>
    <xf numFmtId="0" fontId="10" fillId="0" borderId="2" xfId="4" applyFill="1">
      <alignment vertical="center"/>
    </xf>
    <xf numFmtId="0" fontId="11" fillId="0" borderId="3" xfId="5">
      <alignment vertical="center"/>
    </xf>
    <xf numFmtId="0" fontId="11" fillId="0" borderId="3" xfId="5" applyFill="1">
      <alignment vertical="center"/>
    </xf>
    <xf numFmtId="0" fontId="25" fillId="0" borderId="0" xfId="49" applyFill="1" applyBorder="1">
      <alignment horizontal="left" vertical="center"/>
    </xf>
    <xf numFmtId="0" fontId="25" fillId="0" borderId="0" xfId="50" applyFill="1" applyBorder="1">
      <alignment horizontal="right" vertical="center"/>
    </xf>
    <xf numFmtId="0" fontId="35" fillId="0" borderId="0" xfId="51">
      <alignment horizontal="right" vertical="center"/>
    </xf>
    <xf numFmtId="3" fontId="28" fillId="0" borderId="0" xfId="0" applyFont="1" applyFill="1" applyProtection="1"/>
    <xf numFmtId="3" fontId="26" fillId="35" borderId="14" xfId="0" applyFont="1" applyFill="1" applyBorder="1" applyAlignment="1" applyProtection="1">
      <alignment horizontal="center" vertical="center"/>
    </xf>
    <xf numFmtId="3" fontId="26" fillId="35" borderId="15" xfId="0" applyFont="1" applyFill="1" applyBorder="1" applyAlignment="1" applyProtection="1">
      <alignment horizontal="center" vertical="center"/>
    </xf>
    <xf numFmtId="3" fontId="26" fillId="35" borderId="16" xfId="0" applyFont="1" applyFill="1" applyBorder="1" applyAlignment="1" applyProtection="1">
      <alignment horizontal="center" vertical="center"/>
    </xf>
    <xf numFmtId="3" fontId="12" fillId="0" borderId="17" xfId="0" applyFont="1" applyFill="1" applyBorder="1" applyAlignment="1" applyProtection="1">
      <alignment horizontal="center" vertical="center" wrapText="1"/>
    </xf>
    <xf numFmtId="3" fontId="28" fillId="0" borderId="1" xfId="0" applyFont="1" applyFill="1" applyBorder="1" applyAlignment="1" applyProtection="1">
      <alignment horizontal="center" vertical="center" wrapText="1"/>
    </xf>
    <xf numFmtId="3" fontId="28" fillId="0" borderId="18" xfId="0" applyFont="1" applyFill="1" applyBorder="1" applyAlignment="1" applyProtection="1">
      <alignment horizontal="center" vertical="center" wrapText="1"/>
    </xf>
    <xf numFmtId="3" fontId="12" fillId="0" borderId="19" xfId="0" applyFont="1" applyFill="1" applyBorder="1" applyAlignment="1" applyProtection="1">
      <alignment horizontal="center" vertical="center" wrapText="1"/>
    </xf>
    <xf numFmtId="3" fontId="28" fillId="0" borderId="20" xfId="0" applyFont="1" applyFill="1" applyBorder="1" applyAlignment="1" applyProtection="1">
      <alignment horizontal="center" vertical="center" wrapText="1"/>
    </xf>
    <xf numFmtId="9" fontId="28" fillId="0" borderId="21" xfId="0" applyNumberFormat="1" applyFont="1" applyFill="1" applyBorder="1" applyAlignment="1" applyProtection="1">
      <alignment horizontal="center" vertical="center" wrapText="1"/>
    </xf>
    <xf numFmtId="3" fontId="26" fillId="35" borderId="16" xfId="0" applyFont="1" applyFill="1" applyBorder="1" applyAlignment="1" applyProtection="1">
      <alignment vertical="center"/>
    </xf>
    <xf numFmtId="3" fontId="28" fillId="0" borderId="17" xfId="0" applyFont="1" applyFill="1" applyBorder="1" applyAlignment="1" applyProtection="1">
      <alignment horizontal="center" vertical="center" wrapText="1"/>
    </xf>
    <xf numFmtId="3" fontId="28" fillId="0" borderId="18" xfId="0" applyFont="1" applyFill="1" applyBorder="1" applyAlignment="1" applyProtection="1">
      <alignment vertical="center" wrapText="1"/>
    </xf>
    <xf numFmtId="3" fontId="28" fillId="0" borderId="19" xfId="0" applyFont="1" applyFill="1" applyBorder="1" applyAlignment="1" applyProtection="1">
      <alignment horizontal="center" vertical="center" wrapText="1"/>
    </xf>
    <xf numFmtId="3" fontId="28" fillId="0" borderId="21" xfId="0" applyFont="1" applyFill="1" applyBorder="1" applyAlignment="1" applyProtection="1">
      <alignment vertical="center" wrapText="1"/>
    </xf>
    <xf numFmtId="3" fontId="28" fillId="0" borderId="0" xfId="0" applyFont="1" applyFill="1" applyAlignment="1" applyProtection="1">
      <alignment vertical="center"/>
    </xf>
    <xf numFmtId="3" fontId="31" fillId="0" borderId="0" xfId="0" applyFont="1" applyAlignment="1" applyProtection="1"/>
    <xf numFmtId="3" fontId="28" fillId="0" borderId="0" xfId="0" applyFont="1" applyAlignment="1" applyProtection="1"/>
    <xf numFmtId="3" fontId="28" fillId="0" borderId="0" xfId="0" applyFont="1" applyProtection="1"/>
    <xf numFmtId="3" fontId="12" fillId="35" borderId="14" xfId="0" applyFont="1" applyFill="1" applyBorder="1" applyAlignment="1" applyProtection="1">
      <alignment horizontal="center" vertical="center" wrapText="1"/>
    </xf>
    <xf numFmtId="3" fontId="12" fillId="35" borderId="16" xfId="0" applyFont="1" applyFill="1" applyBorder="1" applyAlignment="1" applyProtection="1">
      <alignment horizontal="center" vertical="center" wrapText="1"/>
    </xf>
    <xf numFmtId="3" fontId="28" fillId="0" borderId="17" xfId="0" applyFont="1" applyBorder="1" applyAlignment="1" applyProtection="1">
      <alignment horizontal="center" vertical="center" wrapText="1"/>
    </xf>
    <xf numFmtId="3" fontId="28" fillId="0" borderId="19" xfId="0" applyFont="1" applyBorder="1" applyAlignment="1" applyProtection="1">
      <alignment horizontal="center" vertical="center" wrapText="1"/>
    </xf>
    <xf numFmtId="3" fontId="32" fillId="0" borderId="0" xfId="0" applyFont="1" applyProtection="1"/>
    <xf numFmtId="3" fontId="28" fillId="0" borderId="18" xfId="0" applyFont="1" applyBorder="1" applyAlignment="1" applyProtection="1">
      <alignment horizontal="left" vertical="center" wrapText="1"/>
    </xf>
    <xf numFmtId="3" fontId="28" fillId="0" borderId="21" xfId="0" applyFont="1" applyBorder="1" applyAlignment="1" applyProtection="1">
      <alignment horizontal="left" vertical="center" wrapText="1"/>
    </xf>
    <xf numFmtId="3" fontId="0" fillId="0" borderId="0" xfId="0"/>
    <xf numFmtId="0" fontId="12" fillId="0" borderId="0" xfId="6">
      <alignment horizontal="left" vertical="center" indent="1"/>
    </xf>
    <xf numFmtId="0" fontId="10" fillId="0" borderId="0" xfId="4" applyBorder="1">
      <alignment vertical="center"/>
    </xf>
    <xf numFmtId="3" fontId="0" fillId="0" borderId="0" xfId="0" applyBorder="1"/>
    <xf numFmtId="0" fontId="12" fillId="0" borderId="0" xfId="6" applyBorder="1">
      <alignment horizontal="left" vertical="center" indent="1"/>
    </xf>
    <xf numFmtId="3" fontId="0" fillId="0" borderId="0" xfId="0" applyNumberFormat="1" applyBorder="1" applyAlignment="1">
      <alignment horizontal="right" indent="1"/>
    </xf>
    <xf numFmtId="165" fontId="0" fillId="0" borderId="0" xfId="0" applyNumberFormat="1" applyBorder="1" applyAlignment="1">
      <alignment horizontal="right" indent="1"/>
    </xf>
    <xf numFmtId="0" fontId="0" fillId="0" borderId="0" xfId="53" applyFont="1"/>
    <xf numFmtId="3" fontId="0" fillId="0" borderId="0" xfId="0"/>
    <xf numFmtId="0" fontId="12" fillId="0" borderId="0" xfId="6">
      <alignment horizontal="left" vertical="center" indent="1"/>
    </xf>
    <xf numFmtId="0" fontId="26" fillId="0" borderId="10" xfId="52">
      <alignment horizontal="left" vertical="center" indent="1"/>
    </xf>
    <xf numFmtId="3" fontId="0" fillId="0" borderId="0" xfId="0"/>
    <xf numFmtId="37" fontId="9" fillId="37" borderId="0" xfId="59" applyFont="1" applyFill="1" applyBorder="1" applyAlignment="1" applyProtection="1">
      <alignment horizontal="right" vertical="center"/>
    </xf>
    <xf numFmtId="3" fontId="8" fillId="0" borderId="0" xfId="20">
      <alignment horizontal="right" vertical="center"/>
    </xf>
    <xf numFmtId="6" fontId="8" fillId="0" borderId="0" xfId="60" applyFont="1" applyAlignment="1">
      <alignment horizontal="right" vertical="center"/>
    </xf>
    <xf numFmtId="2" fontId="8" fillId="0" borderId="0" xfId="60" applyNumberFormat="1" applyFont="1" applyAlignment="1">
      <alignment horizontal="right" vertical="center"/>
    </xf>
    <xf numFmtId="6" fontId="9" fillId="36" borderId="1" xfId="60" applyFont="1" applyFill="1" applyBorder="1" applyAlignment="1" applyProtection="1">
      <alignment horizontal="right" vertical="center"/>
      <protection locked="0"/>
    </xf>
    <xf numFmtId="8" fontId="9" fillId="36" borderId="1" xfId="60" applyNumberFormat="1" applyFont="1" applyFill="1" applyBorder="1" applyAlignment="1" applyProtection="1">
      <alignment horizontal="right" vertical="center"/>
      <protection locked="0"/>
    </xf>
    <xf numFmtId="12" fontId="9" fillId="36" borderId="1" xfId="1" applyNumberFormat="1">
      <alignment horizontal="right" vertical="center"/>
      <protection locked="0"/>
    </xf>
    <xf numFmtId="3" fontId="0" fillId="0" borderId="0" xfId="0"/>
    <xf numFmtId="0" fontId="12" fillId="0" borderId="0" xfId="6" applyAlignment="1">
      <alignment horizontal="center" vertical="center"/>
    </xf>
    <xf numFmtId="0" fontId="11" fillId="0" borderId="0" xfId="5" applyBorder="1" applyAlignment="1">
      <alignment horizontal="center" vertical="center"/>
    </xf>
    <xf numFmtId="0" fontId="26" fillId="0" borderId="10" xfId="52" applyAlignment="1">
      <alignment horizontal="center" vertical="center"/>
    </xf>
    <xf numFmtId="0" fontId="11" fillId="0" borderId="0" xfId="5" applyBorder="1" applyAlignment="1">
      <alignment vertical="center" wrapText="1"/>
    </xf>
    <xf numFmtId="6" fontId="12" fillId="0" borderId="0" xfId="60" applyFont="1" applyAlignment="1">
      <alignment horizontal="left" vertical="center" indent="1"/>
    </xf>
    <xf numFmtId="0" fontId="12" fillId="0" borderId="0" xfId="6">
      <alignment horizontal="left" vertical="center" indent="1"/>
    </xf>
    <xf numFmtId="0" fontId="12" fillId="0" borderId="0" xfId="6">
      <alignment horizontal="left" vertical="center" indent="1"/>
    </xf>
    <xf numFmtId="0" fontId="12" fillId="0" borderId="0" xfId="6" applyAlignment="1">
      <alignment horizontal="left" vertical="center"/>
    </xf>
    <xf numFmtId="3" fontId="9" fillId="36" borderId="1" xfId="1" applyAlignment="1">
      <alignment horizontal="right" vertical="center"/>
      <protection locked="0"/>
    </xf>
    <xf numFmtId="3" fontId="0" fillId="0" borderId="0" xfId="0" applyAlignment="1">
      <alignment vertical="center" wrapText="1"/>
    </xf>
    <xf numFmtId="3" fontId="37" fillId="0" borderId="0" xfId="0" applyFont="1" applyAlignment="1" applyProtection="1">
      <alignment horizontal="center" vertical="center"/>
    </xf>
    <xf numFmtId="3" fontId="37" fillId="0" borderId="0" xfId="0" applyFont="1" applyAlignment="1" applyProtection="1">
      <alignment horizontal="left" vertical="center"/>
    </xf>
    <xf numFmtId="0" fontId="11" fillId="0" borderId="3" xfId="5" applyAlignment="1">
      <alignment vertical="center" wrapText="1"/>
    </xf>
    <xf numFmtId="0" fontId="11" fillId="0" borderId="3" xfId="5" applyAlignment="1">
      <alignment horizontal="left" vertical="center"/>
    </xf>
    <xf numFmtId="3" fontId="0" fillId="0" borderId="0" xfId="0"/>
    <xf numFmtId="0" fontId="10" fillId="0" borderId="2" xfId="4" applyAlignment="1">
      <alignment horizontal="left" vertical="center"/>
    </xf>
    <xf numFmtId="3" fontId="8" fillId="0" borderId="0" xfId="20" applyAlignment="1">
      <alignment horizontal="right" vertical="center"/>
    </xf>
    <xf numFmtId="0" fontId="12" fillId="0" borderId="0" xfId="6" applyAlignment="1">
      <alignment vertical="center"/>
    </xf>
    <xf numFmtId="167" fontId="8" fillId="0" borderId="0" xfId="20" applyNumberFormat="1" applyAlignment="1">
      <alignment horizontal="right" vertical="center"/>
    </xf>
    <xf numFmtId="3" fontId="9" fillId="36" borderId="1" xfId="1" applyAlignment="1">
      <alignment vertical="center"/>
      <protection locked="0"/>
    </xf>
    <xf numFmtId="4" fontId="8" fillId="0" borderId="0" xfId="20" applyNumberFormat="1" applyAlignment="1">
      <alignment horizontal="right" vertical="center"/>
    </xf>
    <xf numFmtId="0" fontId="11" fillId="0" borderId="3" xfId="5" applyAlignment="1">
      <alignment horizontal="right" vertical="center"/>
    </xf>
    <xf numFmtId="8" fontId="8" fillId="0" borderId="0" xfId="60" applyNumberFormat="1" applyFont="1" applyAlignment="1">
      <alignment vertical="center"/>
    </xf>
    <xf numFmtId="167" fontId="9" fillId="36" borderId="1" xfId="1" applyNumberFormat="1" applyAlignment="1">
      <alignment horizontal="right" vertical="center"/>
      <protection locked="0"/>
    </xf>
    <xf numFmtId="3" fontId="38" fillId="0" borderId="0" xfId="0" applyFont="1" applyAlignment="1" applyProtection="1">
      <alignment vertical="center"/>
    </xf>
    <xf numFmtId="4" fontId="9" fillId="36" borderId="1" xfId="1" applyNumberFormat="1" applyAlignment="1">
      <alignment vertical="center"/>
      <protection locked="0"/>
    </xf>
    <xf numFmtId="4" fontId="8" fillId="0" borderId="0" xfId="20" applyNumberFormat="1">
      <alignment horizontal="right" vertical="center"/>
    </xf>
    <xf numFmtId="0" fontId="12" fillId="0" borderId="0" xfId="6">
      <alignment horizontal="left" vertical="center" indent="1"/>
    </xf>
    <xf numFmtId="168" fontId="8" fillId="0" borderId="0" xfId="60" applyNumberFormat="1" applyFont="1" applyAlignment="1">
      <alignment horizontal="right" vertical="center"/>
    </xf>
    <xf numFmtId="165" fontId="8" fillId="0" borderId="0" xfId="60" applyNumberFormat="1" applyFont="1" applyAlignment="1">
      <alignment horizontal="right" vertical="center"/>
    </xf>
    <xf numFmtId="165" fontId="11" fillId="0" borderId="3" xfId="5" applyNumberFormat="1">
      <alignment vertical="center"/>
    </xf>
    <xf numFmtId="168" fontId="8" fillId="0" borderId="0" xfId="20" applyNumberFormat="1" applyAlignment="1">
      <alignment horizontal="right" vertical="center"/>
    </xf>
    <xf numFmtId="0" fontId="37" fillId="0" borderId="0" xfId="61" applyFont="1" applyAlignment="1" applyProtection="1">
      <alignment horizontal="left" vertical="center"/>
    </xf>
    <xf numFmtId="0" fontId="37" fillId="0" borderId="0" xfId="61" applyFont="1" applyAlignment="1" applyProtection="1">
      <alignment horizontal="center" vertical="center"/>
    </xf>
    <xf numFmtId="3" fontId="37" fillId="0" borderId="0" xfId="61" applyNumberFormat="1" applyFont="1" applyAlignment="1" applyProtection="1">
      <alignment horizontal="center" vertical="center"/>
    </xf>
    <xf numFmtId="0" fontId="10" fillId="0" borderId="2" xfId="4" applyAlignment="1">
      <alignment horizontal="right" vertical="center"/>
    </xf>
    <xf numFmtId="3" fontId="8" fillId="0" borderId="0" xfId="20" applyNumberFormat="1" applyFill="1" applyBorder="1">
      <alignment horizontal="right" vertical="center"/>
    </xf>
    <xf numFmtId="165" fontId="26" fillId="0" borderId="10" xfId="60" applyNumberFormat="1" applyFont="1" applyBorder="1" applyAlignment="1">
      <alignment horizontal="center" vertical="center"/>
    </xf>
    <xf numFmtId="165" fontId="26" fillId="0" borderId="10" xfId="52" applyNumberFormat="1" applyAlignment="1">
      <alignment horizontal="center" vertical="center"/>
    </xf>
    <xf numFmtId="165" fontId="26" fillId="0" borderId="10" xfId="60" applyNumberFormat="1" applyFont="1" applyBorder="1" applyAlignment="1">
      <alignment vertical="center"/>
    </xf>
    <xf numFmtId="0" fontId="12" fillId="0" borderId="0" xfId="6">
      <alignment horizontal="left" vertical="center" indent="1"/>
    </xf>
    <xf numFmtId="165" fontId="8" fillId="0" borderId="0" xfId="20" applyNumberFormat="1" applyAlignment="1">
      <alignment horizontal="right" vertical="center"/>
    </xf>
    <xf numFmtId="166" fontId="11" fillId="0" borderId="3" xfId="5" applyNumberFormat="1" applyAlignment="1">
      <alignment vertical="center" wrapText="1"/>
    </xf>
    <xf numFmtId="166" fontId="37" fillId="0" borderId="0" xfId="0" applyNumberFormat="1" applyFont="1" applyAlignment="1" applyProtection="1">
      <alignment horizontal="center" vertical="center"/>
    </xf>
    <xf numFmtId="166" fontId="37" fillId="0" borderId="0" xfId="61" applyNumberFormat="1" applyFont="1" applyAlignment="1" applyProtection="1">
      <alignment horizontal="center" vertical="center"/>
    </xf>
    <xf numFmtId="166" fontId="0" fillId="0" borderId="0" xfId="0" applyNumberFormat="1"/>
    <xf numFmtId="3" fontId="8" fillId="0" borderId="0" xfId="20" applyAlignment="1">
      <alignment horizontal="left" vertical="center"/>
    </xf>
    <xf numFmtId="168" fontId="11" fillId="0" borderId="3" xfId="5" applyNumberFormat="1" applyAlignment="1">
      <alignment vertical="center" wrapText="1"/>
    </xf>
    <xf numFmtId="168" fontId="37" fillId="0" borderId="0" xfId="0" applyNumberFormat="1" applyFont="1" applyAlignment="1" applyProtection="1">
      <alignment horizontal="center" vertical="center"/>
    </xf>
    <xf numFmtId="168" fontId="37" fillId="0" borderId="0" xfId="61" applyNumberFormat="1" applyFont="1" applyAlignment="1" applyProtection="1">
      <alignment horizontal="center" vertical="center"/>
    </xf>
    <xf numFmtId="168" fontId="0" fillId="0" borderId="0" xfId="0" applyNumberFormat="1"/>
    <xf numFmtId="166" fontId="39" fillId="0" borderId="0" xfId="0" applyNumberFormat="1" applyFont="1" applyAlignment="1" applyProtection="1">
      <alignment horizontal="center" vertical="center"/>
    </xf>
    <xf numFmtId="166" fontId="39" fillId="0" borderId="0" xfId="61" applyNumberFormat="1" applyFont="1" applyAlignment="1" applyProtection="1">
      <alignment horizontal="center" vertical="center"/>
    </xf>
    <xf numFmtId="166" fontId="40" fillId="0" borderId="3" xfId="5" applyNumberFormat="1" applyFont="1" applyAlignment="1">
      <alignment horizontal="center" vertical="center" wrapText="1"/>
    </xf>
    <xf numFmtId="168" fontId="9" fillId="36" borderId="1" xfId="60" applyNumberFormat="1" applyFont="1" applyFill="1" applyBorder="1" applyAlignment="1" applyProtection="1">
      <alignment horizontal="right" vertical="center"/>
      <protection locked="0"/>
    </xf>
    <xf numFmtId="3" fontId="0" fillId="0" borderId="0" xfId="0"/>
    <xf numFmtId="3" fontId="0" fillId="0" borderId="0" xfId="0" applyBorder="1"/>
    <xf numFmtId="0" fontId="7" fillId="2" borderId="0" xfId="3" applyBorder="1" applyAlignment="1">
      <alignment horizontal="left" vertical="center" indent="1"/>
    </xf>
    <xf numFmtId="3" fontId="29" fillId="0" borderId="0" xfId="0" applyFont="1" applyAlignment="1">
      <alignment vertical="center"/>
    </xf>
    <xf numFmtId="3" fontId="0" fillId="0" borderId="0" xfId="0" applyAlignment="1"/>
    <xf numFmtId="3" fontId="12" fillId="0" borderId="0" xfId="57" applyBorder="1" applyAlignment="1">
      <alignment horizontal="center" vertical="center"/>
    </xf>
    <xf numFmtId="167" fontId="12" fillId="0" borderId="0" xfId="57" applyNumberFormat="1" applyBorder="1" applyAlignment="1">
      <alignment horizontal="center" vertical="center"/>
    </xf>
    <xf numFmtId="3" fontId="12" fillId="0" borderId="3" xfId="57" applyBorder="1" applyAlignment="1">
      <alignment horizontal="center" vertical="center"/>
    </xf>
    <xf numFmtId="167" fontId="12" fillId="0" borderId="3" xfId="57" applyNumberFormat="1" applyBorder="1" applyAlignment="1">
      <alignment horizontal="center" vertical="center"/>
    </xf>
    <xf numFmtId="3" fontId="12" fillId="35" borderId="12" xfId="57" applyFill="1" applyBorder="1" applyAlignment="1">
      <alignment horizontal="center" vertical="center"/>
    </xf>
    <xf numFmtId="167" fontId="12" fillId="35" borderId="12" xfId="57" applyNumberFormat="1" applyFill="1" applyBorder="1" applyAlignment="1">
      <alignment horizontal="center" vertical="center"/>
    </xf>
    <xf numFmtId="3" fontId="12" fillId="35" borderId="0" xfId="57" applyFill="1" applyBorder="1" applyAlignment="1">
      <alignment horizontal="center" vertical="center"/>
    </xf>
    <xf numFmtId="167" fontId="12" fillId="35" borderId="0" xfId="57" applyNumberFormat="1" applyFill="1" applyBorder="1" applyAlignment="1">
      <alignment horizontal="center" vertical="center"/>
    </xf>
    <xf numFmtId="3" fontId="0" fillId="0" borderId="0" xfId="0"/>
    <xf numFmtId="0" fontId="10" fillId="0" borderId="2" xfId="4">
      <alignment vertical="center"/>
    </xf>
    <xf numFmtId="3" fontId="27" fillId="0" borderId="0" xfId="0" applyFont="1" applyAlignment="1">
      <alignment horizontal="left" vertical="top" wrapText="1"/>
    </xf>
    <xf numFmtId="3" fontId="28" fillId="0" borderId="0" xfId="0" applyFont="1" applyAlignment="1" applyProtection="1"/>
    <xf numFmtId="3" fontId="32" fillId="0" borderId="0" xfId="0" applyFont="1" applyProtection="1"/>
    <xf numFmtId="3" fontId="9" fillId="36" borderId="1" xfId="1" applyAlignment="1">
      <alignment horizontal="center" vertical="center"/>
      <protection locked="0"/>
    </xf>
    <xf numFmtId="0" fontId="11" fillId="0" borderId="3" xfId="5" applyAlignment="1">
      <alignment horizontal="center" vertical="center" wrapText="1"/>
    </xf>
    <xf numFmtId="3" fontId="8" fillId="0" borderId="0" xfId="20" applyAlignment="1">
      <alignment horizontal="center" vertical="center"/>
    </xf>
    <xf numFmtId="3" fontId="8" fillId="0" borderId="0" xfId="20">
      <alignment horizontal="right" vertical="center"/>
    </xf>
    <xf numFmtId="0" fontId="9" fillId="36" borderId="1" xfId="1" applyNumberFormat="1" applyAlignment="1">
      <alignment horizontal="center" vertical="center"/>
      <protection locked="0"/>
    </xf>
    <xf numFmtId="3" fontId="9" fillId="36" borderId="1" xfId="1">
      <alignment horizontal="right" vertical="center"/>
      <protection locked="0"/>
    </xf>
    <xf numFmtId="3" fontId="12" fillId="35" borderId="12" xfId="57" applyNumberFormat="1" applyFill="1" applyBorder="1" applyAlignment="1">
      <alignment horizontal="center" vertical="center"/>
    </xf>
    <xf numFmtId="3" fontId="12" fillId="0" borderId="0" xfId="57" applyNumberFormat="1" applyBorder="1" applyAlignment="1">
      <alignment horizontal="center" vertical="center"/>
    </xf>
    <xf numFmtId="3" fontId="12" fillId="35" borderId="0" xfId="57" applyNumberFormat="1" applyFill="1" applyBorder="1" applyAlignment="1">
      <alignment horizontal="center" vertical="center"/>
    </xf>
    <xf numFmtId="3" fontId="12" fillId="0" borderId="3" xfId="57" applyNumberFormat="1" applyBorder="1" applyAlignment="1">
      <alignment horizontal="center" vertical="center"/>
    </xf>
    <xf numFmtId="3" fontId="26" fillId="0" borderId="10" xfId="52" applyNumberFormat="1" applyAlignment="1">
      <alignment horizontal="center" vertical="center"/>
    </xf>
    <xf numFmtId="167" fontId="26" fillId="0" borderId="10" xfId="52" applyNumberFormat="1" applyAlignment="1">
      <alignment horizontal="center" vertical="center"/>
    </xf>
    <xf numFmtId="167" fontId="8" fillId="0" borderId="0" xfId="20" applyNumberFormat="1" applyFill="1" applyBorder="1">
      <alignment horizontal="right" vertical="center"/>
    </xf>
    <xf numFmtId="3" fontId="12" fillId="35" borderId="12" xfId="57" applyFill="1" applyBorder="1" applyAlignment="1">
      <alignment horizontal="left" vertical="center"/>
    </xf>
    <xf numFmtId="3" fontId="12" fillId="0" borderId="0" xfId="57" applyBorder="1" applyAlignment="1">
      <alignment horizontal="left" vertical="center"/>
    </xf>
    <xf numFmtId="3" fontId="12" fillId="35" borderId="0" xfId="57" applyFill="1" applyBorder="1" applyAlignment="1">
      <alignment horizontal="left" vertical="center"/>
    </xf>
    <xf numFmtId="3" fontId="12" fillId="0" borderId="3" xfId="57" applyBorder="1" applyAlignment="1">
      <alignment horizontal="left" vertical="center"/>
    </xf>
    <xf numFmtId="167" fontId="26" fillId="0" borderId="10" xfId="52" applyNumberFormat="1" applyAlignment="1">
      <alignment horizontal="right" vertical="center" indent="2"/>
    </xf>
    <xf numFmtId="8" fontId="8" fillId="0" borderId="0" xfId="60" applyNumberFormat="1" applyFont="1" applyAlignment="1">
      <alignment horizontal="right" vertical="center"/>
    </xf>
    <xf numFmtId="3" fontId="28" fillId="0" borderId="0" xfId="0" applyFont="1" applyFill="1" applyAlignment="1" applyProtection="1"/>
    <xf numFmtId="172" fontId="46" fillId="0" borderId="0" xfId="0" applyNumberFormat="1" applyFont="1" applyAlignment="1">
      <alignment vertical="top"/>
    </xf>
    <xf numFmtId="172" fontId="46" fillId="0" borderId="0" xfId="0" applyNumberFormat="1" applyFont="1" applyAlignment="1">
      <alignment horizontal="right" vertical="top" indent="1"/>
    </xf>
    <xf numFmtId="0" fontId="10" fillId="0" borderId="0" xfId="64" applyBorder="1">
      <alignment vertical="center"/>
    </xf>
    <xf numFmtId="168" fontId="9" fillId="36" borderId="1" xfId="1" applyNumberFormat="1">
      <alignment horizontal="right" vertical="center"/>
      <protection locked="0"/>
    </xf>
    <xf numFmtId="3" fontId="9" fillId="36" borderId="1" xfId="1" applyNumberFormat="1">
      <alignment horizontal="right" vertical="center"/>
      <protection locked="0"/>
    </xf>
    <xf numFmtId="0" fontId="27" fillId="0" borderId="0" xfId="54">
      <alignment vertical="top" wrapText="1"/>
    </xf>
    <xf numFmtId="3" fontId="0" fillId="0" borderId="0" xfId="0" applyAlignment="1">
      <alignment vertical="center" wrapText="1"/>
    </xf>
    <xf numFmtId="3" fontId="12" fillId="0" borderId="0" xfId="57" applyBorder="1" applyAlignment="1">
      <alignment vertical="center"/>
    </xf>
    <xf numFmtId="3" fontId="12" fillId="35" borderId="0" xfId="57" applyFill="1" applyBorder="1" applyAlignment="1">
      <alignment vertical="center"/>
    </xf>
    <xf numFmtId="3" fontId="12" fillId="0" borderId="3" xfId="57" applyBorder="1" applyAlignment="1">
      <alignment vertical="center"/>
    </xf>
    <xf numFmtId="0" fontId="26" fillId="0" borderId="10" xfId="52" applyAlignment="1">
      <alignment vertical="center"/>
    </xf>
    <xf numFmtId="3" fontId="12" fillId="35" borderId="12" xfId="57" applyFill="1" applyBorder="1" applyAlignment="1">
      <alignment vertical="center"/>
    </xf>
    <xf numFmtId="169" fontId="12" fillId="35" borderId="12" xfId="114" applyFont="1" applyFill="1" applyBorder="1" applyAlignment="1">
      <alignment horizontal="center" vertical="center"/>
    </xf>
    <xf numFmtId="169" fontId="12" fillId="0" borderId="0" xfId="114" applyFont="1" applyBorder="1" applyAlignment="1">
      <alignment horizontal="center" vertical="center"/>
    </xf>
    <xf numFmtId="169" fontId="12" fillId="35" borderId="0" xfId="114" applyFont="1" applyFill="1" applyBorder="1" applyAlignment="1">
      <alignment horizontal="center" vertical="center"/>
    </xf>
    <xf numFmtId="3" fontId="48" fillId="0" borderId="0" xfId="0" applyFont="1" applyAlignment="1" applyProtection="1">
      <alignment vertical="center"/>
    </xf>
    <xf numFmtId="3" fontId="49" fillId="0" borderId="0" xfId="0" applyFont="1" applyAlignment="1">
      <alignment vertical="center"/>
    </xf>
    <xf numFmtId="0" fontId="31" fillId="0" borderId="0" xfId="53" applyFont="1"/>
    <xf numFmtId="0" fontId="25" fillId="0" borderId="0" xfId="53" applyFont="1"/>
    <xf numFmtId="0" fontId="26" fillId="0" borderId="0" xfId="6" applyFont="1">
      <alignment horizontal="left" vertical="center" indent="1"/>
    </xf>
    <xf numFmtId="3" fontId="49" fillId="0" borderId="0" xfId="0" applyFont="1" applyAlignment="1" applyProtection="1">
      <alignment vertical="center"/>
    </xf>
    <xf numFmtId="3" fontId="9" fillId="36" borderId="1" xfId="1" applyBorder="1" applyAlignment="1">
      <alignment horizontal="left" vertical="center"/>
      <protection locked="0"/>
    </xf>
    <xf numFmtId="3" fontId="0" fillId="0" borderId="1" xfId="0" applyBorder="1"/>
    <xf numFmtId="3" fontId="0" fillId="0" borderId="1" xfId="0" applyBorder="1" applyAlignment="1">
      <alignment horizontal="center"/>
    </xf>
    <xf numFmtId="0" fontId="11" fillId="0" borderId="1" xfId="5" applyBorder="1">
      <alignment vertical="center"/>
    </xf>
    <xf numFmtId="9" fontId="31" fillId="0" borderId="1" xfId="0" applyNumberFormat="1" applyFont="1" applyBorder="1" applyAlignment="1">
      <alignment horizontal="center"/>
    </xf>
    <xf numFmtId="3" fontId="31" fillId="34" borderId="1" xfId="0" applyFont="1" applyFill="1" applyBorder="1" applyAlignment="1" applyProtection="1">
      <alignment horizontal="center" vertical="center"/>
    </xf>
    <xf numFmtId="3" fontId="31" fillId="34" borderId="1" xfId="0" applyFont="1" applyFill="1" applyBorder="1" applyAlignment="1" applyProtection="1">
      <alignment horizontal="center"/>
    </xf>
    <xf numFmtId="0" fontId="10" fillId="0" borderId="2" xfId="4" applyAlignment="1">
      <alignment horizontal="center" vertical="center"/>
    </xf>
    <xf numFmtId="3" fontId="26" fillId="0" borderId="10" xfId="52" applyNumberFormat="1" applyAlignment="1" applyProtection="1">
      <alignment horizontal="right" vertical="center" indent="1"/>
    </xf>
    <xf numFmtId="0" fontId="26" fillId="0" borderId="10" xfId="52" applyProtection="1">
      <alignment horizontal="left" vertical="center" indent="1"/>
    </xf>
    <xf numFmtId="3" fontId="0" fillId="0" borderId="3" xfId="0" applyNumberFormat="1" applyBorder="1" applyAlignment="1" applyProtection="1">
      <alignment horizontal="right" indent="1"/>
    </xf>
    <xf numFmtId="3" fontId="29" fillId="0" borderId="0" xfId="0" applyFont="1" applyAlignment="1">
      <alignment horizontal="center" vertical="top"/>
    </xf>
    <xf numFmtId="3" fontId="29" fillId="0" borderId="0" xfId="0" applyFont="1" applyAlignment="1">
      <alignment horizontal="center" vertical="center"/>
    </xf>
    <xf numFmtId="3" fontId="0" fillId="0" borderId="12" xfId="0" applyBorder="1" applyAlignment="1">
      <alignment horizontal="center" vertical="top"/>
    </xf>
    <xf numFmtId="3" fontId="29" fillId="0" borderId="0" xfId="0" applyFont="1" applyAlignment="1">
      <alignment horizontal="center" vertical="center" wrapText="1"/>
    </xf>
    <xf numFmtId="3" fontId="45" fillId="0" borderId="12" xfId="0" applyFont="1" applyBorder="1" applyAlignment="1">
      <alignment horizontal="left"/>
    </xf>
    <xf numFmtId="0" fontId="27" fillId="0" borderId="0" xfId="54">
      <alignment vertical="top" wrapText="1"/>
    </xf>
    <xf numFmtId="165" fontId="0" fillId="0" borderId="3" xfId="60" applyNumberFormat="1" applyFont="1" applyBorder="1" applyAlignment="1" applyProtection="1">
      <alignment horizontal="right" indent="1"/>
    </xf>
    <xf numFmtId="165" fontId="26" fillId="0" borderId="10" xfId="60" applyNumberFormat="1" applyFont="1" applyBorder="1" applyAlignment="1" applyProtection="1">
      <alignment horizontal="right" vertical="center" indent="1"/>
    </xf>
    <xf numFmtId="0" fontId="26" fillId="0" borderId="10" xfId="52" applyAlignment="1" applyProtection="1">
      <alignment horizontal="left" vertical="center"/>
    </xf>
    <xf numFmtId="3" fontId="0" fillId="0" borderId="0" xfId="0" applyAlignment="1">
      <alignment horizontal="center"/>
    </xf>
    <xf numFmtId="0" fontId="12" fillId="0" borderId="10" xfId="6" applyBorder="1">
      <alignment horizontal="left" vertical="center" indent="1"/>
    </xf>
    <xf numFmtId="3" fontId="0" fillId="0" borderId="10" xfId="0" applyNumberFormat="1" applyBorder="1" applyAlignment="1">
      <alignment horizontal="right" indent="1"/>
    </xf>
    <xf numFmtId="165" fontId="0" fillId="0" borderId="10" xfId="0" applyNumberFormat="1" applyBorder="1" applyAlignment="1">
      <alignment horizontal="center"/>
    </xf>
    <xf numFmtId="3" fontId="0" fillId="0" borderId="0" xfId="0" applyProtection="1">
      <protection locked="0"/>
    </xf>
    <xf numFmtId="165" fontId="0" fillId="0" borderId="0" xfId="60" applyNumberFormat="1" applyFont="1" applyAlignment="1" applyProtection="1">
      <alignment horizontal="right" indent="3"/>
      <protection locked="0"/>
    </xf>
    <xf numFmtId="3" fontId="0" fillId="0" borderId="0" xfId="0" applyNumberFormat="1" applyAlignment="1" applyProtection="1">
      <alignment horizontal="right" indent="3"/>
      <protection locked="0"/>
    </xf>
    <xf numFmtId="0" fontId="12" fillId="0" borderId="3" xfId="6" applyBorder="1" applyProtection="1">
      <alignment horizontal="left" vertical="center" indent="1"/>
      <protection locked="0"/>
    </xf>
    <xf numFmtId="3" fontId="0" fillId="0" borderId="3" xfId="0" applyNumberFormat="1" applyBorder="1" applyAlignment="1" applyProtection="1">
      <alignment horizontal="right" indent="3"/>
      <protection locked="0"/>
    </xf>
    <xf numFmtId="0" fontId="26" fillId="0" borderId="10" xfId="52" applyProtection="1">
      <alignment horizontal="left" vertical="center" indent="1"/>
      <protection locked="0"/>
    </xf>
    <xf numFmtId="167" fontId="26" fillId="0" borderId="10" xfId="52" applyNumberFormat="1" applyAlignment="1" applyProtection="1">
      <alignment horizontal="right" vertical="center" indent="3"/>
      <protection locked="0"/>
    </xf>
    <xf numFmtId="0" fontId="26" fillId="0" borderId="10" xfId="52" applyAlignment="1" applyProtection="1">
      <alignment horizontal="left" vertical="center"/>
      <protection locked="0"/>
    </xf>
    <xf numFmtId="165" fontId="26" fillId="0" borderId="10" xfId="60" applyNumberFormat="1" applyFont="1" applyBorder="1" applyAlignment="1" applyProtection="1">
      <alignment horizontal="right" vertical="center" indent="3"/>
      <protection locked="0"/>
    </xf>
    <xf numFmtId="0" fontId="7" fillId="2" borderId="18" xfId="3" applyBorder="1">
      <alignment horizontal="left" vertical="center" indent="1"/>
    </xf>
    <xf numFmtId="0" fontId="7" fillId="2" borderId="23" xfId="3" applyBorder="1">
      <alignment horizontal="left" vertical="center" indent="1"/>
    </xf>
    <xf numFmtId="164" fontId="0" fillId="0" borderId="10" xfId="0" applyNumberFormat="1" applyBorder="1" applyAlignment="1">
      <alignment horizontal="center"/>
    </xf>
    <xf numFmtId="0" fontId="11" fillId="0" borderId="11" xfId="5" applyBorder="1" applyAlignment="1">
      <alignment horizontal="left" vertical="center"/>
    </xf>
    <xf numFmtId="0" fontId="11" fillId="0" borderId="11" xfId="5" applyBorder="1" applyAlignment="1">
      <alignment horizontal="center" vertical="center"/>
    </xf>
    <xf numFmtId="3" fontId="43" fillId="0" borderId="12" xfId="0" applyFont="1" applyBorder="1" applyAlignment="1">
      <alignment horizontal="right" vertical="top"/>
    </xf>
    <xf numFmtId="0" fontId="12" fillId="0" borderId="13" xfId="6" applyBorder="1" applyProtection="1">
      <alignment horizontal="left" vertical="center" indent="1"/>
      <protection locked="0"/>
    </xf>
    <xf numFmtId="3" fontId="0" fillId="0" borderId="13" xfId="0" applyNumberFormat="1" applyBorder="1" applyAlignment="1" applyProtection="1">
      <alignment horizontal="right" indent="3"/>
      <protection locked="0"/>
    </xf>
    <xf numFmtId="0" fontId="12" fillId="0" borderId="0" xfId="6" applyProtection="1">
      <alignment horizontal="left" vertical="center" indent="1"/>
      <protection locked="0"/>
    </xf>
    <xf numFmtId="3" fontId="0" fillId="0" borderId="3" xfId="0" applyBorder="1" applyProtection="1"/>
    <xf numFmtId="3" fontId="0" fillId="0" borderId="13" xfId="0" applyBorder="1" applyProtection="1">
      <protection locked="0"/>
    </xf>
    <xf numFmtId="165" fontId="0" fillId="0" borderId="13" xfId="60" applyNumberFormat="1" applyFont="1" applyBorder="1" applyAlignment="1" applyProtection="1">
      <alignment horizontal="right" indent="3"/>
      <protection locked="0"/>
    </xf>
    <xf numFmtId="0" fontId="12" fillId="0" borderId="3" xfId="6" applyBorder="1" applyProtection="1">
      <alignment horizontal="left" vertical="center" indent="1"/>
    </xf>
    <xf numFmtId="3" fontId="0" fillId="0" borderId="13" xfId="0" applyNumberFormat="1" applyBorder="1" applyAlignment="1" applyProtection="1">
      <alignment horizontal="right" indent="1"/>
    </xf>
    <xf numFmtId="3" fontId="0" fillId="0" borderId="0" xfId="0" applyNumberFormat="1" applyAlignment="1" applyProtection="1">
      <alignment horizontal="right" indent="1"/>
    </xf>
    <xf numFmtId="0" fontId="12" fillId="0" borderId="0" xfId="6" applyProtection="1">
      <alignment horizontal="left" vertical="center" indent="1"/>
    </xf>
    <xf numFmtId="0" fontId="12" fillId="0" borderId="13" xfId="6" applyBorder="1" applyProtection="1">
      <alignment horizontal="left" vertical="center" indent="1"/>
    </xf>
    <xf numFmtId="3" fontId="0" fillId="0" borderId="3" xfId="0" applyBorder="1" applyProtection="1">
      <protection locked="0"/>
    </xf>
    <xf numFmtId="165" fontId="0" fillId="0" borderId="3" xfId="60" applyNumberFormat="1" applyFont="1" applyBorder="1" applyAlignment="1" applyProtection="1">
      <alignment horizontal="right" indent="3"/>
      <protection locked="0"/>
    </xf>
    <xf numFmtId="165" fontId="0" fillId="0" borderId="13" xfId="60" applyNumberFormat="1" applyFont="1" applyBorder="1" applyAlignment="1" applyProtection="1">
      <alignment horizontal="right" indent="1"/>
    </xf>
    <xf numFmtId="165" fontId="0" fillId="0" borderId="0" xfId="60" applyNumberFormat="1" applyFont="1" applyAlignment="1" applyProtection="1">
      <alignment horizontal="right" indent="1"/>
    </xf>
    <xf numFmtId="3" fontId="0" fillId="0" borderId="13" xfId="0" applyBorder="1" applyProtection="1"/>
    <xf numFmtId="3" fontId="0" fillId="0" borderId="0" xfId="0" applyProtection="1"/>
    <xf numFmtId="3" fontId="0" fillId="0" borderId="0" xfId="0" applyBorder="1" applyAlignment="1">
      <alignment horizontal="left" vertical="center" wrapText="1"/>
    </xf>
    <xf numFmtId="3" fontId="0" fillId="0" borderId="0" xfId="0" applyAlignment="1">
      <alignment vertical="center" wrapText="1"/>
    </xf>
    <xf numFmtId="0" fontId="7" fillId="2" borderId="1" xfId="3" applyProtection="1">
      <alignment horizontal="left" vertical="center" indent="1"/>
    </xf>
    <xf numFmtId="0" fontId="12" fillId="0" borderId="12" xfId="6" applyBorder="1" applyAlignment="1">
      <alignment horizontal="left" vertical="top" wrapText="1"/>
    </xf>
    <xf numFmtId="3" fontId="0" fillId="0" borderId="0" xfId="0" applyAlignment="1">
      <alignment vertical="top"/>
    </xf>
    <xf numFmtId="3" fontId="0" fillId="0" borderId="12" xfId="0" applyBorder="1" applyAlignment="1">
      <alignment horizontal="right" vertical="top"/>
    </xf>
    <xf numFmtId="3" fontId="44" fillId="0" borderId="0" xfId="0" applyFont="1" applyAlignment="1" applyProtection="1">
      <alignment horizontal="right" vertical="center"/>
    </xf>
    <xf numFmtId="0" fontId="7" fillId="2" borderId="22" xfId="3" applyBorder="1" applyProtection="1">
      <alignment horizontal="left" vertical="center" indent="1"/>
    </xf>
    <xf numFmtId="0" fontId="7" fillId="2" borderId="0" xfId="3" applyBorder="1" applyProtection="1">
      <alignment horizontal="left" vertical="center" indent="1"/>
    </xf>
    <xf numFmtId="0" fontId="11" fillId="0" borderId="3" xfId="5" applyAlignment="1">
      <alignment horizontal="center" vertical="center" wrapText="1"/>
    </xf>
    <xf numFmtId="0" fontId="11" fillId="0" borderId="12" xfId="5" applyBorder="1" applyAlignment="1">
      <alignment horizontal="center" vertical="center"/>
    </xf>
    <xf numFmtId="0" fontId="11" fillId="0" borderId="0" xfId="5" applyBorder="1" applyAlignment="1">
      <alignment horizontal="center" vertical="center"/>
    </xf>
    <xf numFmtId="0" fontId="11" fillId="0" borderId="12" xfId="5" applyBorder="1" applyAlignment="1">
      <alignment horizontal="center" vertical="center" wrapText="1"/>
    </xf>
    <xf numFmtId="0" fontId="11" fillId="0" borderId="0" xfId="5" applyBorder="1" applyAlignment="1">
      <alignment horizontal="center" vertical="center" wrapText="1"/>
    </xf>
    <xf numFmtId="0" fontId="11" fillId="0" borderId="3" xfId="5" applyAlignment="1">
      <alignment horizontal="center" vertical="center"/>
    </xf>
    <xf numFmtId="3" fontId="12" fillId="35" borderId="12" xfId="57" applyFill="1" applyBorder="1" applyAlignment="1">
      <alignment vertical="center"/>
    </xf>
    <xf numFmtId="3" fontId="12" fillId="0" borderId="0" xfId="57" applyBorder="1" applyAlignment="1">
      <alignment vertical="center"/>
    </xf>
    <xf numFmtId="3" fontId="12" fillId="35" borderId="0" xfId="57" applyFill="1" applyBorder="1" applyAlignment="1">
      <alignment vertical="center"/>
    </xf>
    <xf numFmtId="3" fontId="0" fillId="0" borderId="0" xfId="0" applyBorder="1" applyAlignment="1">
      <alignment horizontal="center" vertical="center"/>
    </xf>
    <xf numFmtId="3" fontId="0" fillId="0" borderId="0" xfId="0" applyBorder="1" applyAlignment="1">
      <alignment horizontal="center" vertical="center" wrapText="1"/>
    </xf>
    <xf numFmtId="0" fontId="11" fillId="0" borderId="3" xfId="5" applyBorder="1" applyAlignment="1">
      <alignment horizontal="center" vertical="center" wrapText="1"/>
    </xf>
    <xf numFmtId="0" fontId="26" fillId="0" borderId="10" xfId="52" applyAlignment="1">
      <alignment vertical="center"/>
    </xf>
    <xf numFmtId="3" fontId="12" fillId="0" borderId="3" xfId="57" applyBorder="1" applyAlignment="1">
      <alignment vertical="center"/>
    </xf>
    <xf numFmtId="0" fontId="11" fillId="0" borderId="2" xfId="5" applyBorder="1" applyAlignment="1">
      <alignment horizontal="center" vertical="center"/>
    </xf>
    <xf numFmtId="0" fontId="11" fillId="0" borderId="2" xfId="5" applyBorder="1" applyAlignment="1">
      <alignment horizontal="center" vertical="center" wrapText="1"/>
    </xf>
    <xf numFmtId="3" fontId="44" fillId="0" borderId="12" xfId="0" applyFont="1" applyBorder="1" applyAlignment="1">
      <alignment horizontal="right" vertical="top"/>
    </xf>
    <xf numFmtId="0" fontId="7" fillId="2" borderId="18" xfId="3" applyBorder="1" applyProtection="1">
      <alignment horizontal="left" vertical="center" indent="1"/>
    </xf>
    <xf numFmtId="0" fontId="7" fillId="2" borderId="23" xfId="3" applyBorder="1" applyProtection="1">
      <alignment horizontal="left" vertical="center" indent="1"/>
    </xf>
    <xf numFmtId="0" fontId="7" fillId="2" borderId="17" xfId="3" applyBorder="1" applyProtection="1">
      <alignment horizontal="left" vertical="center" indent="1"/>
    </xf>
    <xf numFmtId="3" fontId="9" fillId="36" borderId="1" xfId="1" applyAlignment="1">
      <alignment horizontal="center" vertical="center"/>
      <protection locked="0"/>
    </xf>
    <xf numFmtId="3" fontId="9" fillId="36" borderId="18" xfId="1" applyBorder="1" applyAlignment="1">
      <alignment horizontal="center" vertical="center"/>
      <protection locked="0"/>
    </xf>
    <xf numFmtId="3" fontId="9" fillId="36" borderId="17" xfId="1" applyBorder="1" applyAlignment="1">
      <alignment horizontal="center" vertical="center"/>
      <protection locked="0"/>
    </xf>
    <xf numFmtId="0" fontId="10" fillId="0" borderId="1" xfId="4" applyBorder="1" applyAlignment="1">
      <alignment horizontal="center" vertical="center"/>
    </xf>
    <xf numFmtId="3" fontId="54" fillId="0" borderId="0" xfId="0" applyFont="1" applyAlignment="1" applyProtection="1">
      <alignment vertical="center"/>
    </xf>
    <xf numFmtId="3" fontId="54" fillId="0" borderId="0" xfId="0" applyFont="1"/>
    <xf numFmtId="3" fontId="54" fillId="0" borderId="0" xfId="0" applyFont="1" applyAlignment="1">
      <alignment horizontal="left" vertical="top"/>
    </xf>
  </cellXfs>
  <cellStyles count="3789">
    <cellStyle name="20% - Accent1" xfId="26" builtinId="30" hidden="1"/>
    <cellStyle name="20% - Accent1" xfId="87" builtinId="30" hidden="1"/>
    <cellStyle name="20% - Accent1" xfId="135" builtinId="30" hidden="1"/>
    <cellStyle name="20% - Accent1" xfId="179" builtinId="30" hidden="1"/>
    <cellStyle name="20% - Accent1" xfId="232" builtinId="30" hidden="1"/>
    <cellStyle name="20% - Accent1" xfId="261" builtinId="30" hidden="1"/>
    <cellStyle name="20% - Accent1" xfId="314" builtinId="30" hidden="1"/>
    <cellStyle name="20% - Accent1" xfId="344" builtinId="30" hidden="1"/>
    <cellStyle name="20% - Accent1" xfId="394" builtinId="30" hidden="1"/>
    <cellStyle name="20% - Accent1" xfId="425" builtinId="30" hidden="1"/>
    <cellStyle name="20% - Accent1" xfId="477" builtinId="30" hidden="1"/>
    <cellStyle name="20% - Accent1" xfId="506" builtinId="30" hidden="1"/>
    <cellStyle name="20% - Accent1" xfId="555" builtinId="30" hidden="1"/>
    <cellStyle name="20% - Accent1" xfId="586" builtinId="30" hidden="1"/>
    <cellStyle name="20% - Accent1" xfId="628" builtinId="30" hidden="1"/>
    <cellStyle name="20% - Accent1" xfId="670" builtinId="30" hidden="1"/>
    <cellStyle name="20% - Accent1" xfId="716" builtinId="30" hidden="1"/>
    <cellStyle name="20% - Accent1" xfId="758" builtinId="30" hidden="1"/>
    <cellStyle name="20% - Accent1" xfId="806" builtinId="30" hidden="1"/>
    <cellStyle name="20% - Accent1" xfId="856" builtinId="30" hidden="1"/>
    <cellStyle name="20% - Accent1" xfId="895" builtinId="30" hidden="1"/>
    <cellStyle name="20% - Accent1" xfId="943" builtinId="30" hidden="1"/>
    <cellStyle name="20% - Accent1" xfId="978" builtinId="30" hidden="1"/>
    <cellStyle name="20% - Accent1" xfId="1027" builtinId="30" hidden="1"/>
    <cellStyle name="20% - Accent1" xfId="1067" builtinId="30" hidden="1"/>
    <cellStyle name="20% - Accent1" xfId="1104" builtinId="30" hidden="1"/>
    <cellStyle name="20% - Accent1" xfId="1144" builtinId="30" hidden="1"/>
    <cellStyle name="20% - Accent1" xfId="1191" builtinId="30" hidden="1"/>
    <cellStyle name="20% - Accent1" xfId="1239" builtinId="30" hidden="1"/>
    <cellStyle name="20% - Accent1" xfId="1278" builtinId="30" hidden="1"/>
    <cellStyle name="20% - Accent1" xfId="1325" builtinId="30" hidden="1"/>
    <cellStyle name="20% - Accent1" xfId="1361" builtinId="30" hidden="1"/>
    <cellStyle name="20% - Accent1" xfId="1410" builtinId="30" hidden="1"/>
    <cellStyle name="20% - Accent1" xfId="1449" builtinId="30" hidden="1"/>
    <cellStyle name="20% - Accent1" xfId="1484" builtinId="30" hidden="1"/>
    <cellStyle name="20% - Accent1" xfId="1522" builtinId="30" hidden="1"/>
    <cellStyle name="20% - Accent1" xfId="1545" builtinId="30" hidden="1"/>
    <cellStyle name="20% - Accent1" xfId="1575" builtinId="30" hidden="1"/>
    <cellStyle name="20% - Accent1" xfId="1615" builtinId="30" hidden="1"/>
    <cellStyle name="20% - Accent1" xfId="1661" builtinId="30" hidden="1"/>
    <cellStyle name="20% - Accent1" xfId="1697" builtinId="30" hidden="1"/>
    <cellStyle name="20% - Accent1" xfId="1746" builtinId="30" hidden="1"/>
    <cellStyle name="20% - Accent1" xfId="1787" builtinId="30" hidden="1"/>
    <cellStyle name="20% - Accent1" xfId="1823" builtinId="30" hidden="1"/>
    <cellStyle name="20% - Accent1" xfId="1863" builtinId="30" hidden="1"/>
    <cellStyle name="20% - Accent1" xfId="1743" builtinId="30" hidden="1"/>
    <cellStyle name="20% - Accent1" xfId="1904" builtinId="30" hidden="1"/>
    <cellStyle name="20% - Accent1" xfId="1941" builtinId="30" hidden="1"/>
    <cellStyle name="20% - Accent1" xfId="1984" builtinId="30" hidden="1"/>
    <cellStyle name="20% - Accent1" xfId="2016" builtinId="30" hidden="1"/>
    <cellStyle name="20% - Accent1" xfId="2061" builtinId="30" hidden="1"/>
    <cellStyle name="20% - Accent1" xfId="2097" builtinId="30" hidden="1"/>
    <cellStyle name="20% - Accent1" xfId="2130" builtinId="30" hidden="1"/>
    <cellStyle name="20% - Accent1" xfId="2166" builtinId="30" hidden="1"/>
    <cellStyle name="20% - Accent1" xfId="970" builtinId="30" hidden="1"/>
    <cellStyle name="20% - Accent1" xfId="2204" builtinId="30" hidden="1"/>
    <cellStyle name="20% - Accent1" xfId="2238" builtinId="30" hidden="1"/>
    <cellStyle name="20% - Accent1" xfId="2291" builtinId="30" hidden="1"/>
    <cellStyle name="20% - Accent1" xfId="2344" builtinId="30" hidden="1"/>
    <cellStyle name="20% - Accent1" xfId="2394" builtinId="30" hidden="1"/>
    <cellStyle name="20% - Accent1" xfId="2438" builtinId="30" hidden="1"/>
    <cellStyle name="20% - Accent1" xfId="2475" builtinId="30" hidden="1"/>
    <cellStyle name="20% - Accent1" xfId="2515" builtinId="30" hidden="1"/>
    <cellStyle name="20% - Accent1" xfId="2553" builtinId="30" hidden="1"/>
    <cellStyle name="20% - Accent1" xfId="2588" builtinId="30" hidden="1"/>
    <cellStyle name="20% - Accent1" xfId="2641" builtinId="30" hidden="1"/>
    <cellStyle name="20% - Accent1" xfId="2692" builtinId="30" hidden="1"/>
    <cellStyle name="20% - Accent1" xfId="2736" builtinId="30" hidden="1"/>
    <cellStyle name="20% - Accent1" xfId="2772" builtinId="30" hidden="1"/>
    <cellStyle name="20% - Accent1" xfId="2812" builtinId="30" hidden="1"/>
    <cellStyle name="20% - Accent1" xfId="2850" builtinId="30" hidden="1"/>
    <cellStyle name="20% - Accent1" xfId="2611" builtinId="30" hidden="1"/>
    <cellStyle name="20% - Accent1" xfId="2923" builtinId="30" hidden="1"/>
    <cellStyle name="20% - Accent1" xfId="2973" builtinId="30" hidden="1"/>
    <cellStyle name="20% - Accent1" xfId="3017" builtinId="30" hidden="1"/>
    <cellStyle name="20% - Accent1" xfId="3054" builtinId="30" hidden="1"/>
    <cellStyle name="20% - Accent1" xfId="3094" builtinId="30" hidden="1"/>
    <cellStyle name="20% - Accent1" xfId="3132" builtinId="30" hidden="1"/>
    <cellStyle name="20% - Accent1" xfId="3157" builtinId="30" hidden="1"/>
    <cellStyle name="20% - Accent1" xfId="3207" builtinId="30" hidden="1"/>
    <cellStyle name="20% - Accent1" xfId="3256" builtinId="30" hidden="1"/>
    <cellStyle name="20% - Accent1" xfId="3298" builtinId="30" hidden="1"/>
    <cellStyle name="20% - Accent1" xfId="3334" builtinId="30" hidden="1"/>
    <cellStyle name="20% - Accent1" xfId="3374" builtinId="30" hidden="1"/>
    <cellStyle name="20% - Accent1" xfId="3412" builtinId="30" hidden="1"/>
    <cellStyle name="20% - Accent1" xfId="3230" builtinId="30" hidden="1"/>
    <cellStyle name="20% - Accent1" xfId="3471" builtinId="30" hidden="1"/>
    <cellStyle name="20% - Accent1" xfId="3519" builtinId="30" hidden="1"/>
    <cellStyle name="20% - Accent1" xfId="3562" builtinId="30" hidden="1"/>
    <cellStyle name="20% - Accent1" xfId="3599" builtinId="30" hidden="1"/>
    <cellStyle name="20% - Accent1" xfId="3639" builtinId="30" hidden="1"/>
    <cellStyle name="20% - Accent1" xfId="3677" builtinId="30" hidden="1"/>
    <cellStyle name="20% - Accent1" xfId="3720" builtinId="30" hidden="1"/>
    <cellStyle name="20% - Accent1" xfId="3766" builtinId="30" hidden="1"/>
    <cellStyle name="20% - Accent2" xfId="30" builtinId="34" hidden="1"/>
    <cellStyle name="20% - Accent2" xfId="91" builtinId="34" hidden="1"/>
    <cellStyle name="20% - Accent2" xfId="139" builtinId="34" hidden="1"/>
    <cellStyle name="20% - Accent2" xfId="183" builtinId="34" hidden="1"/>
    <cellStyle name="20% - Accent2" xfId="236" builtinId="34" hidden="1"/>
    <cellStyle name="20% - Accent2" xfId="265" builtinId="34" hidden="1"/>
    <cellStyle name="20% - Accent2" xfId="318" builtinId="34" hidden="1"/>
    <cellStyle name="20% - Accent2" xfId="348" builtinId="34" hidden="1"/>
    <cellStyle name="20% - Accent2" xfId="398" builtinId="34" hidden="1"/>
    <cellStyle name="20% - Accent2" xfId="429" builtinId="34" hidden="1"/>
    <cellStyle name="20% - Accent2" xfId="481" builtinId="34" hidden="1"/>
    <cellStyle name="20% - Accent2" xfId="510" builtinId="34" hidden="1"/>
    <cellStyle name="20% - Accent2" xfId="559" builtinId="34" hidden="1"/>
    <cellStyle name="20% - Accent2" xfId="590" builtinId="34" hidden="1"/>
    <cellStyle name="20% - Accent2" xfId="632" builtinId="34" hidden="1"/>
    <cellStyle name="20% - Accent2" xfId="674" builtinId="34" hidden="1"/>
    <cellStyle name="20% - Accent2" xfId="720" builtinId="34" hidden="1"/>
    <cellStyle name="20% - Accent2" xfId="762" builtinId="34" hidden="1"/>
    <cellStyle name="20% - Accent2" xfId="810" builtinId="34" hidden="1"/>
    <cellStyle name="20% - Accent2" xfId="860" builtinId="34" hidden="1"/>
    <cellStyle name="20% - Accent2" xfId="899" builtinId="34" hidden="1"/>
    <cellStyle name="20% - Accent2" xfId="947" builtinId="34" hidden="1"/>
    <cellStyle name="20% - Accent2" xfId="982" builtinId="34" hidden="1"/>
    <cellStyle name="20% - Accent2" xfId="1031" builtinId="34" hidden="1"/>
    <cellStyle name="20% - Accent2" xfId="1071" builtinId="34" hidden="1"/>
    <cellStyle name="20% - Accent2" xfId="1108" builtinId="34" hidden="1"/>
    <cellStyle name="20% - Accent2" xfId="1148" builtinId="34" hidden="1"/>
    <cellStyle name="20% - Accent2" xfId="1195" builtinId="34" hidden="1"/>
    <cellStyle name="20% - Accent2" xfId="1243" builtinId="34" hidden="1"/>
    <cellStyle name="20% - Accent2" xfId="1282" builtinId="34" hidden="1"/>
    <cellStyle name="20% - Accent2" xfId="1329" builtinId="34" hidden="1"/>
    <cellStyle name="20% - Accent2" xfId="1365" builtinId="34" hidden="1"/>
    <cellStyle name="20% - Accent2" xfId="1414" builtinId="34" hidden="1"/>
    <cellStyle name="20% - Accent2" xfId="1453" builtinId="34" hidden="1"/>
    <cellStyle name="20% - Accent2" xfId="1488" builtinId="34" hidden="1"/>
    <cellStyle name="20% - Accent2" xfId="1526" builtinId="34" hidden="1"/>
    <cellStyle name="20% - Accent2" xfId="1477" builtinId="34" hidden="1"/>
    <cellStyle name="20% - Accent2" xfId="1579" builtinId="34" hidden="1"/>
    <cellStyle name="20% - Accent2" xfId="1619" builtinId="34" hidden="1"/>
    <cellStyle name="20% - Accent2" xfId="1665" builtinId="34" hidden="1"/>
    <cellStyle name="20% - Accent2" xfId="1701" builtinId="34" hidden="1"/>
    <cellStyle name="20% - Accent2" xfId="1750" builtinId="34" hidden="1"/>
    <cellStyle name="20% - Accent2" xfId="1791" builtinId="34" hidden="1"/>
    <cellStyle name="20% - Accent2" xfId="1827" builtinId="34" hidden="1"/>
    <cellStyle name="20% - Accent2" xfId="1867" builtinId="34" hidden="1"/>
    <cellStyle name="20% - Accent2" xfId="1658" builtinId="34" hidden="1"/>
    <cellStyle name="20% - Accent2" xfId="1908" builtinId="34" hidden="1"/>
    <cellStyle name="20% - Accent2" xfId="1945" builtinId="34" hidden="1"/>
    <cellStyle name="20% - Accent2" xfId="1988" builtinId="34" hidden="1"/>
    <cellStyle name="20% - Accent2" xfId="2020" builtinId="34" hidden="1"/>
    <cellStyle name="20% - Accent2" xfId="2065" builtinId="34" hidden="1"/>
    <cellStyle name="20% - Accent2" xfId="2101" builtinId="34" hidden="1"/>
    <cellStyle name="20% - Accent2" xfId="2134" builtinId="34" hidden="1"/>
    <cellStyle name="20% - Accent2" xfId="2170" builtinId="34" hidden="1"/>
    <cellStyle name="20% - Accent2" xfId="831" builtinId="34" hidden="1"/>
    <cellStyle name="20% - Accent2" xfId="2208" builtinId="34" hidden="1"/>
    <cellStyle name="20% - Accent2" xfId="2242" builtinId="34" hidden="1"/>
    <cellStyle name="20% - Accent2" xfId="2295" builtinId="34" hidden="1"/>
    <cellStyle name="20% - Accent2" xfId="2348" builtinId="34" hidden="1"/>
    <cellStyle name="20% - Accent2" xfId="2398" builtinId="34" hidden="1"/>
    <cellStyle name="20% - Accent2" xfId="2442" builtinId="34" hidden="1"/>
    <cellStyle name="20% - Accent2" xfId="2479" builtinId="34" hidden="1"/>
    <cellStyle name="20% - Accent2" xfId="2519" builtinId="34" hidden="1"/>
    <cellStyle name="20% - Accent2" xfId="2557" builtinId="34" hidden="1"/>
    <cellStyle name="20% - Accent2" xfId="2592" builtinId="34" hidden="1"/>
    <cellStyle name="20% - Accent2" xfId="2645" builtinId="34" hidden="1"/>
    <cellStyle name="20% - Accent2" xfId="2696" builtinId="34" hidden="1"/>
    <cellStyle name="20% - Accent2" xfId="2740" builtinId="34" hidden="1"/>
    <cellStyle name="20% - Accent2" xfId="2776" builtinId="34" hidden="1"/>
    <cellStyle name="20% - Accent2" xfId="2816" builtinId="34" hidden="1"/>
    <cellStyle name="20% - Accent2" xfId="2854" builtinId="34" hidden="1"/>
    <cellStyle name="20% - Accent2" xfId="2582" builtinId="34" hidden="1"/>
    <cellStyle name="20% - Accent2" xfId="2927" builtinId="34" hidden="1"/>
    <cellStyle name="20% - Accent2" xfId="2977" builtinId="34" hidden="1"/>
    <cellStyle name="20% - Accent2" xfId="3021" builtinId="34" hidden="1"/>
    <cellStyle name="20% - Accent2" xfId="3058" builtinId="34" hidden="1"/>
    <cellStyle name="20% - Accent2" xfId="3098" builtinId="34" hidden="1"/>
    <cellStyle name="20% - Accent2" xfId="3136" builtinId="34" hidden="1"/>
    <cellStyle name="20% - Accent2" xfId="3161" builtinId="34" hidden="1"/>
    <cellStyle name="20% - Accent2" xfId="3211" builtinId="34" hidden="1"/>
    <cellStyle name="20% - Accent2" xfId="3260" builtinId="34" hidden="1"/>
    <cellStyle name="20% - Accent2" xfId="3302" builtinId="34" hidden="1"/>
    <cellStyle name="20% - Accent2" xfId="3338" builtinId="34" hidden="1"/>
    <cellStyle name="20% - Accent2" xfId="3378" builtinId="34" hidden="1"/>
    <cellStyle name="20% - Accent2" xfId="3416" builtinId="34" hidden="1"/>
    <cellStyle name="20% - Accent2" xfId="2903" builtinId="34" hidden="1"/>
    <cellStyle name="20% - Accent2" xfId="3475" builtinId="34" hidden="1"/>
    <cellStyle name="20% - Accent2" xfId="3523" builtinId="34" hidden="1"/>
    <cellStyle name="20% - Accent2" xfId="3566" builtinId="34" hidden="1"/>
    <cellStyle name="20% - Accent2" xfId="3603" builtinId="34" hidden="1"/>
    <cellStyle name="20% - Accent2" xfId="3643" builtinId="34" hidden="1"/>
    <cellStyle name="20% - Accent2" xfId="3681" builtinId="34" hidden="1"/>
    <cellStyle name="20% - Accent2" xfId="3724" builtinId="34" hidden="1"/>
    <cellStyle name="20% - Accent2" xfId="3770" builtinId="34" hidden="1"/>
    <cellStyle name="20% - Accent3" xfId="34" builtinId="38" hidden="1"/>
    <cellStyle name="20% - Accent3" xfId="95" builtinId="38" hidden="1"/>
    <cellStyle name="20% - Accent3" xfId="143" builtinId="38" hidden="1"/>
    <cellStyle name="20% - Accent3" xfId="187" builtinId="38" hidden="1"/>
    <cellStyle name="20% - Accent3" xfId="240" builtinId="38" hidden="1"/>
    <cellStyle name="20% - Accent3" xfId="269" builtinId="38" hidden="1"/>
    <cellStyle name="20% - Accent3" xfId="322" builtinId="38" hidden="1"/>
    <cellStyle name="20% - Accent3" xfId="352" builtinId="38" hidden="1"/>
    <cellStyle name="20% - Accent3" xfId="402" builtinId="38" hidden="1"/>
    <cellStyle name="20% - Accent3" xfId="433" builtinId="38" hidden="1"/>
    <cellStyle name="20% - Accent3" xfId="485" builtinId="38" hidden="1"/>
    <cellStyle name="20% - Accent3" xfId="514" builtinId="38" hidden="1"/>
    <cellStyle name="20% - Accent3" xfId="563" builtinId="38" hidden="1"/>
    <cellStyle name="20% - Accent3" xfId="594" builtinId="38" hidden="1"/>
    <cellStyle name="20% - Accent3" xfId="636" builtinId="38" hidden="1"/>
    <cellStyle name="20% - Accent3" xfId="678" builtinId="38" hidden="1"/>
    <cellStyle name="20% - Accent3" xfId="724" builtinId="38" hidden="1"/>
    <cellStyle name="20% - Accent3" xfId="766" builtinId="38" hidden="1"/>
    <cellStyle name="20% - Accent3" xfId="814" builtinId="38" hidden="1"/>
    <cellStyle name="20% - Accent3" xfId="864" builtinId="38" hidden="1"/>
    <cellStyle name="20% - Accent3" xfId="903" builtinId="38" hidden="1"/>
    <cellStyle name="20% - Accent3" xfId="951" builtinId="38" hidden="1"/>
    <cellStyle name="20% - Accent3" xfId="986" builtinId="38" hidden="1"/>
    <cellStyle name="20% - Accent3" xfId="1035" builtinId="38" hidden="1"/>
    <cellStyle name="20% - Accent3" xfId="1075" builtinId="38" hidden="1"/>
    <cellStyle name="20% - Accent3" xfId="1112" builtinId="38" hidden="1"/>
    <cellStyle name="20% - Accent3" xfId="1152" builtinId="38" hidden="1"/>
    <cellStyle name="20% - Accent3" xfId="1199" builtinId="38" hidden="1"/>
    <cellStyle name="20% - Accent3" xfId="1247" builtinId="38" hidden="1"/>
    <cellStyle name="20% - Accent3" xfId="1286" builtinId="38" hidden="1"/>
    <cellStyle name="20% - Accent3" xfId="1333" builtinId="38" hidden="1"/>
    <cellStyle name="20% - Accent3" xfId="1369" builtinId="38" hidden="1"/>
    <cellStyle name="20% - Accent3" xfId="1418" builtinId="38" hidden="1"/>
    <cellStyle name="20% - Accent3" xfId="1457" builtinId="38" hidden="1"/>
    <cellStyle name="20% - Accent3" xfId="1492" builtinId="38" hidden="1"/>
    <cellStyle name="20% - Accent3" xfId="1530" builtinId="38" hidden="1"/>
    <cellStyle name="20% - Accent3" xfId="1215" builtinId="38" hidden="1"/>
    <cellStyle name="20% - Accent3" xfId="1583" builtinId="38" hidden="1"/>
    <cellStyle name="20% - Accent3" xfId="1623" builtinId="38" hidden="1"/>
    <cellStyle name="20% - Accent3" xfId="1669" builtinId="38" hidden="1"/>
    <cellStyle name="20% - Accent3" xfId="1705" builtinId="38" hidden="1"/>
    <cellStyle name="20% - Accent3" xfId="1754" builtinId="38" hidden="1"/>
    <cellStyle name="20% - Accent3" xfId="1795" builtinId="38" hidden="1"/>
    <cellStyle name="20% - Accent3" xfId="1831" builtinId="38" hidden="1"/>
    <cellStyle name="20% - Accent3" xfId="1871" builtinId="38" hidden="1"/>
    <cellStyle name="20% - Accent3" xfId="1694" builtinId="38" hidden="1"/>
    <cellStyle name="20% - Accent3" xfId="1912" builtinId="38" hidden="1"/>
    <cellStyle name="20% - Accent3" xfId="1949" builtinId="38" hidden="1"/>
    <cellStyle name="20% - Accent3" xfId="1992" builtinId="38" hidden="1"/>
    <cellStyle name="20% - Accent3" xfId="2024" builtinId="38" hidden="1"/>
    <cellStyle name="20% - Accent3" xfId="2069" builtinId="38" hidden="1"/>
    <cellStyle name="20% - Accent3" xfId="2105" builtinId="38" hidden="1"/>
    <cellStyle name="20% - Accent3" xfId="2138" builtinId="38" hidden="1"/>
    <cellStyle name="20% - Accent3" xfId="2174" builtinId="38" hidden="1"/>
    <cellStyle name="20% - Accent3" xfId="1024" builtinId="38" hidden="1"/>
    <cellStyle name="20% - Accent3" xfId="2212" builtinId="38" hidden="1"/>
    <cellStyle name="20% - Accent3" xfId="2246" builtinId="38" hidden="1"/>
    <cellStyle name="20% - Accent3" xfId="2299" builtinId="38" hidden="1"/>
    <cellStyle name="20% - Accent3" xfId="2352" builtinId="38" hidden="1"/>
    <cellStyle name="20% - Accent3" xfId="2402" builtinId="38" hidden="1"/>
    <cellStyle name="20% - Accent3" xfId="2446" builtinId="38" hidden="1"/>
    <cellStyle name="20% - Accent3" xfId="2483" builtinId="38" hidden="1"/>
    <cellStyle name="20% - Accent3" xfId="2523" builtinId="38" hidden="1"/>
    <cellStyle name="20% - Accent3" xfId="2561" builtinId="38" hidden="1"/>
    <cellStyle name="20% - Accent3" xfId="2596" builtinId="38" hidden="1"/>
    <cellStyle name="20% - Accent3" xfId="2649" builtinId="38" hidden="1"/>
    <cellStyle name="20% - Accent3" xfId="2700" builtinId="38" hidden="1"/>
    <cellStyle name="20% - Accent3" xfId="2744" builtinId="38" hidden="1"/>
    <cellStyle name="20% - Accent3" xfId="2780" builtinId="38" hidden="1"/>
    <cellStyle name="20% - Accent3" xfId="2820" builtinId="38" hidden="1"/>
    <cellStyle name="20% - Accent3" xfId="2858" builtinId="38" hidden="1"/>
    <cellStyle name="20% - Accent3" xfId="2878" builtinId="38" hidden="1"/>
    <cellStyle name="20% - Accent3" xfId="2931" builtinId="38" hidden="1"/>
    <cellStyle name="20% - Accent3" xfId="2981" builtinId="38" hidden="1"/>
    <cellStyle name="20% - Accent3" xfId="3025" builtinId="38" hidden="1"/>
    <cellStyle name="20% - Accent3" xfId="3062" builtinId="38" hidden="1"/>
    <cellStyle name="20% - Accent3" xfId="3102" builtinId="38" hidden="1"/>
    <cellStyle name="20% - Accent3" xfId="3140" builtinId="38" hidden="1"/>
    <cellStyle name="20% - Accent3" xfId="3165" builtinId="38" hidden="1"/>
    <cellStyle name="20% - Accent3" xfId="3215" builtinId="38" hidden="1"/>
    <cellStyle name="20% - Accent3" xfId="3264" builtinId="38" hidden="1"/>
    <cellStyle name="20% - Accent3" xfId="3306" builtinId="38" hidden="1"/>
    <cellStyle name="20% - Accent3" xfId="3342" builtinId="38" hidden="1"/>
    <cellStyle name="20% - Accent3" xfId="3382" builtinId="38" hidden="1"/>
    <cellStyle name="20% - Accent3" xfId="3420" builtinId="38" hidden="1"/>
    <cellStyle name="20% - Accent3" xfId="3439" builtinId="38" hidden="1"/>
    <cellStyle name="20% - Accent3" xfId="3479" builtinId="38" hidden="1"/>
    <cellStyle name="20% - Accent3" xfId="3527" builtinId="38" hidden="1"/>
    <cellStyle name="20% - Accent3" xfId="3570" builtinId="38" hidden="1"/>
    <cellStyle name="20% - Accent3" xfId="3607" builtinId="38" hidden="1"/>
    <cellStyle name="20% - Accent3" xfId="3647" builtinId="38" hidden="1"/>
    <cellStyle name="20% - Accent3" xfId="3685" builtinId="38" hidden="1"/>
    <cellStyle name="20% - Accent3" xfId="3728" builtinId="38" hidden="1"/>
    <cellStyle name="20% - Accent3" xfId="3774" builtinId="38" hidden="1"/>
    <cellStyle name="20% - Accent4" xfId="38" builtinId="42" hidden="1"/>
    <cellStyle name="20% - Accent4" xfId="99" builtinId="42" hidden="1"/>
    <cellStyle name="20% - Accent4" xfId="147" builtinId="42" hidden="1"/>
    <cellStyle name="20% - Accent4" xfId="191" builtinId="42" hidden="1"/>
    <cellStyle name="20% - Accent4" xfId="244" builtinId="42" hidden="1"/>
    <cellStyle name="20% - Accent4" xfId="273" builtinId="42" hidden="1"/>
    <cellStyle name="20% - Accent4" xfId="326" builtinId="42" hidden="1"/>
    <cellStyle name="20% - Accent4" xfId="356" builtinId="42" hidden="1"/>
    <cellStyle name="20% - Accent4" xfId="406" builtinId="42" hidden="1"/>
    <cellStyle name="20% - Accent4" xfId="437" builtinId="42" hidden="1"/>
    <cellStyle name="20% - Accent4" xfId="489" builtinId="42" hidden="1"/>
    <cellStyle name="20% - Accent4" xfId="518" builtinId="42" hidden="1"/>
    <cellStyle name="20% - Accent4" xfId="567" builtinId="42" hidden="1"/>
    <cellStyle name="20% - Accent4" xfId="598" builtinId="42" hidden="1"/>
    <cellStyle name="20% - Accent4" xfId="640" builtinId="42" hidden="1"/>
    <cellStyle name="20% - Accent4" xfId="682" builtinId="42" hidden="1"/>
    <cellStyle name="20% - Accent4" xfId="728" builtinId="42" hidden="1"/>
    <cellStyle name="20% - Accent4" xfId="770" builtinId="42" hidden="1"/>
    <cellStyle name="20% - Accent4" xfId="818" builtinId="42" hidden="1"/>
    <cellStyle name="20% - Accent4" xfId="868" builtinId="42" hidden="1"/>
    <cellStyle name="20% - Accent4" xfId="907" builtinId="42" hidden="1"/>
    <cellStyle name="20% - Accent4" xfId="955" builtinId="42" hidden="1"/>
    <cellStyle name="20% - Accent4" xfId="990" builtinId="42" hidden="1"/>
    <cellStyle name="20% - Accent4" xfId="1039" builtinId="42" hidden="1"/>
    <cellStyle name="20% - Accent4" xfId="1079" builtinId="42" hidden="1"/>
    <cellStyle name="20% - Accent4" xfId="1116" builtinId="42" hidden="1"/>
    <cellStyle name="20% - Accent4" xfId="1156" builtinId="42" hidden="1"/>
    <cellStyle name="20% - Accent4" xfId="1203" builtinId="42" hidden="1"/>
    <cellStyle name="20% - Accent4" xfId="1251" builtinId="42" hidden="1"/>
    <cellStyle name="20% - Accent4" xfId="1290" builtinId="42" hidden="1"/>
    <cellStyle name="20% - Accent4" xfId="1337" builtinId="42" hidden="1"/>
    <cellStyle name="20% - Accent4" xfId="1373" builtinId="42" hidden="1"/>
    <cellStyle name="20% - Accent4" xfId="1422" builtinId="42" hidden="1"/>
    <cellStyle name="20% - Accent4" xfId="1461" builtinId="42" hidden="1"/>
    <cellStyle name="20% - Accent4" xfId="1496" builtinId="42" hidden="1"/>
    <cellStyle name="20% - Accent4" xfId="1534" builtinId="42" hidden="1"/>
    <cellStyle name="20% - Accent4" xfId="1176" builtinId="42" hidden="1"/>
    <cellStyle name="20% - Accent4" xfId="1587" builtinId="42" hidden="1"/>
    <cellStyle name="20% - Accent4" xfId="1627" builtinId="42" hidden="1"/>
    <cellStyle name="20% - Accent4" xfId="1673" builtinId="42" hidden="1"/>
    <cellStyle name="20% - Accent4" xfId="1709" builtinId="42" hidden="1"/>
    <cellStyle name="20% - Accent4" xfId="1758" builtinId="42" hidden="1"/>
    <cellStyle name="20% - Accent4" xfId="1799" builtinId="42" hidden="1"/>
    <cellStyle name="20% - Accent4" xfId="1835" builtinId="42" hidden="1"/>
    <cellStyle name="20% - Accent4" xfId="1875" builtinId="42" hidden="1"/>
    <cellStyle name="20% - Accent4" xfId="1612" builtinId="42" hidden="1"/>
    <cellStyle name="20% - Accent4" xfId="1916" builtinId="42" hidden="1"/>
    <cellStyle name="20% - Accent4" xfId="1953" builtinId="42" hidden="1"/>
    <cellStyle name="20% - Accent4" xfId="1996" builtinId="42" hidden="1"/>
    <cellStyle name="20% - Accent4" xfId="2028" builtinId="42" hidden="1"/>
    <cellStyle name="20% - Accent4" xfId="2073" builtinId="42" hidden="1"/>
    <cellStyle name="20% - Accent4" xfId="2109" builtinId="42" hidden="1"/>
    <cellStyle name="20% - Accent4" xfId="2142" builtinId="42" hidden="1"/>
    <cellStyle name="20% - Accent4" xfId="2178" builtinId="42" hidden="1"/>
    <cellStyle name="20% - Accent4" xfId="1101" builtinId="42" hidden="1"/>
    <cellStyle name="20% - Accent4" xfId="2216" builtinId="42" hidden="1"/>
    <cellStyle name="20% - Accent4" xfId="2250" builtinId="42" hidden="1"/>
    <cellStyle name="20% - Accent4" xfId="2303" builtinId="42" hidden="1"/>
    <cellStyle name="20% - Accent4" xfId="2356" builtinId="42" hidden="1"/>
    <cellStyle name="20% - Accent4" xfId="2406" builtinId="42" hidden="1"/>
    <cellStyle name="20% - Accent4" xfId="2450" builtinId="42" hidden="1"/>
    <cellStyle name="20% - Accent4" xfId="2487" builtinId="42" hidden="1"/>
    <cellStyle name="20% - Accent4" xfId="2527" builtinId="42" hidden="1"/>
    <cellStyle name="20% - Accent4" xfId="2565" builtinId="42" hidden="1"/>
    <cellStyle name="20% - Accent4" xfId="2600" builtinId="42" hidden="1"/>
    <cellStyle name="20% - Accent4" xfId="2653" builtinId="42" hidden="1"/>
    <cellStyle name="20% - Accent4" xfId="2704" builtinId="42" hidden="1"/>
    <cellStyle name="20% - Accent4" xfId="2748" builtinId="42" hidden="1"/>
    <cellStyle name="20% - Accent4" xfId="2784" builtinId="42" hidden="1"/>
    <cellStyle name="20% - Accent4" xfId="2824" builtinId="42" hidden="1"/>
    <cellStyle name="20% - Accent4" xfId="2862" builtinId="42" hidden="1"/>
    <cellStyle name="20% - Accent4" xfId="2882" builtinId="42" hidden="1"/>
    <cellStyle name="20% - Accent4" xfId="2935" builtinId="42" hidden="1"/>
    <cellStyle name="20% - Accent4" xfId="2985" builtinId="42" hidden="1"/>
    <cellStyle name="20% - Accent4" xfId="3029" builtinId="42" hidden="1"/>
    <cellStyle name="20% - Accent4" xfId="3066" builtinId="42" hidden="1"/>
    <cellStyle name="20% - Accent4" xfId="3106" builtinId="42" hidden="1"/>
    <cellStyle name="20% - Accent4" xfId="3144" builtinId="42" hidden="1"/>
    <cellStyle name="20% - Accent4" xfId="3169" builtinId="42" hidden="1"/>
    <cellStyle name="20% - Accent4" xfId="3219" builtinId="42" hidden="1"/>
    <cellStyle name="20% - Accent4" xfId="3268" builtinId="42" hidden="1"/>
    <cellStyle name="20% - Accent4" xfId="3310" builtinId="42" hidden="1"/>
    <cellStyle name="20% - Accent4" xfId="3346" builtinId="42" hidden="1"/>
    <cellStyle name="20% - Accent4" xfId="3386" builtinId="42" hidden="1"/>
    <cellStyle name="20% - Accent4" xfId="3424" builtinId="42" hidden="1"/>
    <cellStyle name="20% - Accent4" xfId="3443" builtinId="42" hidden="1"/>
    <cellStyle name="20% - Accent4" xfId="3483" builtinId="42" hidden="1"/>
    <cellStyle name="20% - Accent4" xfId="3531" builtinId="42" hidden="1"/>
    <cellStyle name="20% - Accent4" xfId="3574" builtinId="42" hidden="1"/>
    <cellStyle name="20% - Accent4" xfId="3611" builtinId="42" hidden="1"/>
    <cellStyle name="20% - Accent4" xfId="3651" builtinId="42" hidden="1"/>
    <cellStyle name="20% - Accent4" xfId="3689" builtinId="42" hidden="1"/>
    <cellStyle name="20% - Accent4" xfId="3732" builtinId="42" hidden="1"/>
    <cellStyle name="20% - Accent4" xfId="3778" builtinId="42" hidden="1"/>
    <cellStyle name="20% - Accent5" xfId="42" builtinId="46" hidden="1"/>
    <cellStyle name="20% - Accent5" xfId="103" builtinId="46" hidden="1"/>
    <cellStyle name="20% - Accent5" xfId="151" builtinId="46" hidden="1"/>
    <cellStyle name="20% - Accent5" xfId="195" builtinId="46" hidden="1"/>
    <cellStyle name="20% - Accent5" xfId="248" builtinId="46" hidden="1"/>
    <cellStyle name="20% - Accent5" xfId="277" builtinId="46" hidden="1"/>
    <cellStyle name="20% - Accent5" xfId="330" builtinId="46" hidden="1"/>
    <cellStyle name="20% - Accent5" xfId="360" builtinId="46" hidden="1"/>
    <cellStyle name="20% - Accent5" xfId="410" builtinId="46" hidden="1"/>
    <cellStyle name="20% - Accent5" xfId="441" builtinId="46" hidden="1"/>
    <cellStyle name="20% - Accent5" xfId="493" builtinId="46" hidden="1"/>
    <cellStyle name="20% - Accent5" xfId="522" builtinId="46" hidden="1"/>
    <cellStyle name="20% - Accent5" xfId="571" builtinId="46" hidden="1"/>
    <cellStyle name="20% - Accent5" xfId="602" builtinId="46" hidden="1"/>
    <cellStyle name="20% - Accent5" xfId="644" builtinId="46" hidden="1"/>
    <cellStyle name="20% - Accent5" xfId="686" builtinId="46" hidden="1"/>
    <cellStyle name="20% - Accent5" xfId="732" builtinId="46" hidden="1"/>
    <cellStyle name="20% - Accent5" xfId="774" builtinId="46" hidden="1"/>
    <cellStyle name="20% - Accent5" xfId="822" builtinId="46" hidden="1"/>
    <cellStyle name="20% - Accent5" xfId="872" builtinId="46" hidden="1"/>
    <cellStyle name="20% - Accent5" xfId="911" builtinId="46" hidden="1"/>
    <cellStyle name="20% - Accent5" xfId="959" builtinId="46" hidden="1"/>
    <cellStyle name="20% - Accent5" xfId="994" builtinId="46" hidden="1"/>
    <cellStyle name="20% - Accent5" xfId="1043" builtinId="46" hidden="1"/>
    <cellStyle name="20% - Accent5" xfId="1083" builtinId="46" hidden="1"/>
    <cellStyle name="20% - Accent5" xfId="1120" builtinId="46" hidden="1"/>
    <cellStyle name="20% - Accent5" xfId="1160" builtinId="46" hidden="1"/>
    <cellStyle name="20% - Accent5" xfId="1207" builtinId="46" hidden="1"/>
    <cellStyle name="20% - Accent5" xfId="1255" builtinId="46" hidden="1"/>
    <cellStyle name="20% - Accent5" xfId="1294" builtinId="46" hidden="1"/>
    <cellStyle name="20% - Accent5" xfId="1341" builtinId="46" hidden="1"/>
    <cellStyle name="20% - Accent5" xfId="1377" builtinId="46" hidden="1"/>
    <cellStyle name="20% - Accent5" xfId="1426" builtinId="46" hidden="1"/>
    <cellStyle name="20% - Accent5" xfId="1465" builtinId="46" hidden="1"/>
    <cellStyle name="20% - Accent5" xfId="1500" builtinId="46" hidden="1"/>
    <cellStyle name="20% - Accent5" xfId="1538" builtinId="46" hidden="1"/>
    <cellStyle name="20% - Accent5" xfId="1170" builtinId="46" hidden="1"/>
    <cellStyle name="20% - Accent5" xfId="1591" builtinId="46" hidden="1"/>
    <cellStyle name="20% - Accent5" xfId="1631" builtinId="46" hidden="1"/>
    <cellStyle name="20% - Accent5" xfId="1677" builtinId="46" hidden="1"/>
    <cellStyle name="20% - Accent5" xfId="1713" builtinId="46" hidden="1"/>
    <cellStyle name="20% - Accent5" xfId="1762" builtinId="46" hidden="1"/>
    <cellStyle name="20% - Accent5" xfId="1803" builtinId="46" hidden="1"/>
    <cellStyle name="20% - Accent5" xfId="1839" builtinId="46" hidden="1"/>
    <cellStyle name="20% - Accent5" xfId="1879" builtinId="46" hidden="1"/>
    <cellStyle name="20% - Accent5" xfId="1860" builtinId="46" hidden="1"/>
    <cellStyle name="20% - Accent5" xfId="1920" builtinId="46" hidden="1"/>
    <cellStyle name="20% - Accent5" xfId="1957" builtinId="46" hidden="1"/>
    <cellStyle name="20% - Accent5" xfId="2000" builtinId="46" hidden="1"/>
    <cellStyle name="20% - Accent5" xfId="2032" builtinId="46" hidden="1"/>
    <cellStyle name="20% - Accent5" xfId="2077" builtinId="46" hidden="1"/>
    <cellStyle name="20% - Accent5" xfId="2113" builtinId="46" hidden="1"/>
    <cellStyle name="20% - Accent5" xfId="2146" builtinId="46" hidden="1"/>
    <cellStyle name="20% - Accent5" xfId="2182" builtinId="46" hidden="1"/>
    <cellStyle name="20% - Accent5" xfId="792" builtinId="46" hidden="1"/>
    <cellStyle name="20% - Accent5" xfId="2220" builtinId="46" hidden="1"/>
    <cellStyle name="20% - Accent5" xfId="2254" builtinId="46" hidden="1"/>
    <cellStyle name="20% - Accent5" xfId="2307" builtinId="46" hidden="1"/>
    <cellStyle name="20% - Accent5" xfId="2360" builtinId="46" hidden="1"/>
    <cellStyle name="20% - Accent5" xfId="2410" builtinId="46" hidden="1"/>
    <cellStyle name="20% - Accent5" xfId="2454" builtinId="46" hidden="1"/>
    <cellStyle name="20% - Accent5" xfId="2491" builtinId="46" hidden="1"/>
    <cellStyle name="20% - Accent5" xfId="2531" builtinId="46" hidden="1"/>
    <cellStyle name="20% - Accent5" xfId="2569" builtinId="46" hidden="1"/>
    <cellStyle name="20% - Accent5" xfId="2604" builtinId="46" hidden="1"/>
    <cellStyle name="20% - Accent5" xfId="2657" builtinId="46" hidden="1"/>
    <cellStyle name="20% - Accent5" xfId="2708" builtinId="46" hidden="1"/>
    <cellStyle name="20% - Accent5" xfId="2752" builtinId="46" hidden="1"/>
    <cellStyle name="20% - Accent5" xfId="2788" builtinId="46" hidden="1"/>
    <cellStyle name="20% - Accent5" xfId="2828" builtinId="46" hidden="1"/>
    <cellStyle name="20% - Accent5" xfId="2866" builtinId="46" hidden="1"/>
    <cellStyle name="20% - Accent5" xfId="2886" builtinId="46" hidden="1"/>
    <cellStyle name="20% - Accent5" xfId="2939" builtinId="46" hidden="1"/>
    <cellStyle name="20% - Accent5" xfId="2989" builtinId="46" hidden="1"/>
    <cellStyle name="20% - Accent5" xfId="3033" builtinId="46" hidden="1"/>
    <cellStyle name="20% - Accent5" xfId="3070" builtinId="46" hidden="1"/>
    <cellStyle name="20% - Accent5" xfId="3110" builtinId="46" hidden="1"/>
    <cellStyle name="20% - Accent5" xfId="3148" builtinId="46" hidden="1"/>
    <cellStyle name="20% - Accent5" xfId="3173" builtinId="46" hidden="1"/>
    <cellStyle name="20% - Accent5" xfId="3223" builtinId="46" hidden="1"/>
    <cellStyle name="20% - Accent5" xfId="3272" builtinId="46" hidden="1"/>
    <cellStyle name="20% - Accent5" xfId="3314" builtinId="46" hidden="1"/>
    <cellStyle name="20% - Accent5" xfId="3350" builtinId="46" hidden="1"/>
    <cellStyle name="20% - Accent5" xfId="3390" builtinId="46" hidden="1"/>
    <cellStyle name="20% - Accent5" xfId="3428" builtinId="46" hidden="1"/>
    <cellStyle name="20% - Accent5" xfId="3447" builtinId="46" hidden="1"/>
    <cellStyle name="20% - Accent5" xfId="3487" builtinId="46" hidden="1"/>
    <cellStyle name="20% - Accent5" xfId="3535" builtinId="46" hidden="1"/>
    <cellStyle name="20% - Accent5" xfId="3578" builtinId="46" hidden="1"/>
    <cellStyle name="20% - Accent5" xfId="3615" builtinId="46" hidden="1"/>
    <cellStyle name="20% - Accent5" xfId="3655" builtinId="46" hidden="1"/>
    <cellStyle name="20% - Accent5" xfId="3693" builtinId="46" hidden="1"/>
    <cellStyle name="20% - Accent5" xfId="3736" builtinId="46" hidden="1"/>
    <cellStyle name="20% - Accent5" xfId="3782" builtinId="46" hidden="1"/>
    <cellStyle name="20% - Accent6" xfId="46" builtinId="50" hidden="1"/>
    <cellStyle name="20% - Accent6" xfId="107" builtinId="50" hidden="1"/>
    <cellStyle name="20% - Accent6" xfId="155" builtinId="50" hidden="1"/>
    <cellStyle name="20% - Accent6" xfId="199" builtinId="50" hidden="1"/>
    <cellStyle name="20% - Accent6" xfId="252" builtinId="50" hidden="1"/>
    <cellStyle name="20% - Accent6" xfId="281" builtinId="50" hidden="1"/>
    <cellStyle name="20% - Accent6" xfId="334" builtinId="50" hidden="1"/>
    <cellStyle name="20% - Accent6" xfId="364" builtinId="50" hidden="1"/>
    <cellStyle name="20% - Accent6" xfId="414" builtinId="50" hidden="1"/>
    <cellStyle name="20% - Accent6" xfId="445" builtinId="50" hidden="1"/>
    <cellStyle name="20% - Accent6" xfId="497" builtinId="50" hidden="1"/>
    <cellStyle name="20% - Accent6" xfId="526" builtinId="50" hidden="1"/>
    <cellStyle name="20% - Accent6" xfId="575" builtinId="50" hidden="1"/>
    <cellStyle name="20% - Accent6" xfId="606" builtinId="50" hidden="1"/>
    <cellStyle name="20% - Accent6" xfId="648" builtinId="50" hidden="1"/>
    <cellStyle name="20% - Accent6" xfId="690" builtinId="50" hidden="1"/>
    <cellStyle name="20% - Accent6" xfId="736" builtinId="50" hidden="1"/>
    <cellStyle name="20% - Accent6" xfId="778" builtinId="50" hidden="1"/>
    <cellStyle name="20% - Accent6" xfId="826" builtinId="50" hidden="1"/>
    <cellStyle name="20% - Accent6" xfId="876" builtinId="50" hidden="1"/>
    <cellStyle name="20% - Accent6" xfId="915" builtinId="50" hidden="1"/>
    <cellStyle name="20% - Accent6" xfId="963" builtinId="50" hidden="1"/>
    <cellStyle name="20% - Accent6" xfId="998" builtinId="50" hidden="1"/>
    <cellStyle name="20% - Accent6" xfId="1047" builtinId="50" hidden="1"/>
    <cellStyle name="20% - Accent6" xfId="1087" builtinId="50" hidden="1"/>
    <cellStyle name="20% - Accent6" xfId="1124" builtinId="50" hidden="1"/>
    <cellStyle name="20% - Accent6" xfId="1164" builtinId="50" hidden="1"/>
    <cellStyle name="20% - Accent6" xfId="1211" builtinId="50" hidden="1"/>
    <cellStyle name="20% - Accent6" xfId="1259" builtinId="50" hidden="1"/>
    <cellStyle name="20% - Accent6" xfId="1298" builtinId="50" hidden="1"/>
    <cellStyle name="20% - Accent6" xfId="1345" builtinId="50" hidden="1"/>
    <cellStyle name="20% - Accent6" xfId="1381" builtinId="50" hidden="1"/>
    <cellStyle name="20% - Accent6" xfId="1430" builtinId="50" hidden="1"/>
    <cellStyle name="20% - Accent6" xfId="1469" builtinId="50" hidden="1"/>
    <cellStyle name="20% - Accent6" xfId="1504" builtinId="50" hidden="1"/>
    <cellStyle name="20% - Accent6" xfId="1542" builtinId="50" hidden="1"/>
    <cellStyle name="20% - Accent6" xfId="1546" builtinId="50" hidden="1"/>
    <cellStyle name="20% - Accent6" xfId="1595" builtinId="50" hidden="1"/>
    <cellStyle name="20% - Accent6" xfId="1635" builtinId="50" hidden="1"/>
    <cellStyle name="20% - Accent6" xfId="1681" builtinId="50" hidden="1"/>
    <cellStyle name="20% - Accent6" xfId="1717" builtinId="50" hidden="1"/>
    <cellStyle name="20% - Accent6" xfId="1766" builtinId="50" hidden="1"/>
    <cellStyle name="20% - Accent6" xfId="1807" builtinId="50" hidden="1"/>
    <cellStyle name="20% - Accent6" xfId="1843" builtinId="50" hidden="1"/>
    <cellStyle name="20% - Accent6" xfId="1883" builtinId="50" hidden="1"/>
    <cellStyle name="20% - Accent6" xfId="1782" builtinId="50" hidden="1"/>
    <cellStyle name="20% - Accent6" xfId="1924" builtinId="50" hidden="1"/>
    <cellStyle name="20% - Accent6" xfId="1961" builtinId="50" hidden="1"/>
    <cellStyle name="20% - Accent6" xfId="2004" builtinId="50" hidden="1"/>
    <cellStyle name="20% - Accent6" xfId="2036" builtinId="50" hidden="1"/>
    <cellStyle name="20% - Accent6" xfId="2081" builtinId="50" hidden="1"/>
    <cellStyle name="20% - Accent6" xfId="2117" builtinId="50" hidden="1"/>
    <cellStyle name="20% - Accent6" xfId="2150" builtinId="50" hidden="1"/>
    <cellStyle name="20% - Accent6" xfId="2186" builtinId="50" hidden="1"/>
    <cellStyle name="20% - Accent6" xfId="836" builtinId="50" hidden="1"/>
    <cellStyle name="20% - Accent6" xfId="2224" builtinId="50" hidden="1"/>
    <cellStyle name="20% - Accent6" xfId="2258" builtinId="50" hidden="1"/>
    <cellStyle name="20% - Accent6" xfId="2311" builtinId="50" hidden="1"/>
    <cellStyle name="20% - Accent6" xfId="2364" builtinId="50" hidden="1"/>
    <cellStyle name="20% - Accent6" xfId="2414" builtinId="50" hidden="1"/>
    <cellStyle name="20% - Accent6" xfId="2458" builtinId="50" hidden="1"/>
    <cellStyle name="20% - Accent6" xfId="2495" builtinId="50" hidden="1"/>
    <cellStyle name="20% - Accent6" xfId="2535" builtinId="50" hidden="1"/>
    <cellStyle name="20% - Accent6" xfId="2573" builtinId="50" hidden="1"/>
    <cellStyle name="20% - Accent6" xfId="2608" builtinId="50" hidden="1"/>
    <cellStyle name="20% - Accent6" xfId="2661" builtinId="50" hidden="1"/>
    <cellStyle name="20% - Accent6" xfId="2712" builtinId="50" hidden="1"/>
    <cellStyle name="20% - Accent6" xfId="2756" builtinId="50" hidden="1"/>
    <cellStyle name="20% - Accent6" xfId="2792" builtinId="50" hidden="1"/>
    <cellStyle name="20% - Accent6" xfId="2832" builtinId="50" hidden="1"/>
    <cellStyle name="20% - Accent6" xfId="2870" builtinId="50" hidden="1"/>
    <cellStyle name="20% - Accent6" xfId="2890" builtinId="50" hidden="1"/>
    <cellStyle name="20% - Accent6" xfId="2943" builtinId="50" hidden="1"/>
    <cellStyle name="20% - Accent6" xfId="2993" builtinId="50" hidden="1"/>
    <cellStyle name="20% - Accent6" xfId="3037" builtinId="50" hidden="1"/>
    <cellStyle name="20% - Accent6" xfId="3074" builtinId="50" hidden="1"/>
    <cellStyle name="20% - Accent6" xfId="3114" builtinId="50" hidden="1"/>
    <cellStyle name="20% - Accent6" xfId="3152" builtinId="50" hidden="1"/>
    <cellStyle name="20% - Accent6" xfId="3177" builtinId="50" hidden="1"/>
    <cellStyle name="20% - Accent6" xfId="3227" builtinId="50" hidden="1"/>
    <cellStyle name="20% - Accent6" xfId="3276" builtinId="50" hidden="1"/>
    <cellStyle name="20% - Accent6" xfId="3318" builtinId="50" hidden="1"/>
    <cellStyle name="20% - Accent6" xfId="3354" builtinId="50" hidden="1"/>
    <cellStyle name="20% - Accent6" xfId="3394" builtinId="50" hidden="1"/>
    <cellStyle name="20% - Accent6" xfId="3432" builtinId="50" hidden="1"/>
    <cellStyle name="20% - Accent6" xfId="3451" builtinId="50" hidden="1"/>
    <cellStyle name="20% - Accent6" xfId="3491" builtinId="50" hidden="1"/>
    <cellStyle name="20% - Accent6" xfId="3539" builtinId="50" hidden="1"/>
    <cellStyle name="20% - Accent6" xfId="3582" builtinId="50" hidden="1"/>
    <cellStyle name="20% - Accent6" xfId="3619" builtinId="50" hidden="1"/>
    <cellStyle name="20% - Accent6" xfId="3659" builtinId="50" hidden="1"/>
    <cellStyle name="20% - Accent6" xfId="3697" builtinId="50" hidden="1"/>
    <cellStyle name="20% - Accent6" xfId="3740" builtinId="50" hidden="1"/>
    <cellStyle name="20% - Accent6" xfId="3786" builtinId="50" hidden="1"/>
    <cellStyle name="40% - Accent1" xfId="27" builtinId="31" hidden="1"/>
    <cellStyle name="40% - Accent1" xfId="88" builtinId="31" hidden="1"/>
    <cellStyle name="40% - Accent1" xfId="136" builtinId="31" hidden="1"/>
    <cellStyle name="40% - Accent1" xfId="180" builtinId="31" hidden="1"/>
    <cellStyle name="40% - Accent1" xfId="233" builtinId="31" hidden="1"/>
    <cellStyle name="40% - Accent1" xfId="262" builtinId="31" hidden="1"/>
    <cellStyle name="40% - Accent1" xfId="315" builtinId="31" hidden="1"/>
    <cellStyle name="40% - Accent1" xfId="345" builtinId="31" hidden="1"/>
    <cellStyle name="40% - Accent1" xfId="395" builtinId="31" hidden="1"/>
    <cellStyle name="40% - Accent1" xfId="426" builtinId="31" hidden="1"/>
    <cellStyle name="40% - Accent1" xfId="478" builtinId="31" hidden="1"/>
    <cellStyle name="40% - Accent1" xfId="507" builtinId="31" hidden="1"/>
    <cellStyle name="40% - Accent1" xfId="556" builtinId="31" hidden="1"/>
    <cellStyle name="40% - Accent1" xfId="587" builtinId="31" hidden="1"/>
    <cellStyle name="40% - Accent1" xfId="629" builtinId="31" hidden="1"/>
    <cellStyle name="40% - Accent1" xfId="671" builtinId="31" hidden="1"/>
    <cellStyle name="40% - Accent1" xfId="717" builtinId="31" hidden="1"/>
    <cellStyle name="40% - Accent1" xfId="759" builtinId="31" hidden="1"/>
    <cellStyle name="40% - Accent1" xfId="807" builtinId="31" hidden="1"/>
    <cellStyle name="40% - Accent1" xfId="857" builtinId="31" hidden="1"/>
    <cellStyle name="40% - Accent1" xfId="896" builtinId="31" hidden="1"/>
    <cellStyle name="40% - Accent1" xfId="944" builtinId="31" hidden="1"/>
    <cellStyle name="40% - Accent1" xfId="979" builtinId="31" hidden="1"/>
    <cellStyle name="40% - Accent1" xfId="1028" builtinId="31" hidden="1"/>
    <cellStyle name="40% - Accent1" xfId="1068" builtinId="31" hidden="1"/>
    <cellStyle name="40% - Accent1" xfId="1105" builtinId="31" hidden="1"/>
    <cellStyle name="40% - Accent1" xfId="1145" builtinId="31" hidden="1"/>
    <cellStyle name="40% - Accent1" xfId="1192" builtinId="31" hidden="1"/>
    <cellStyle name="40% - Accent1" xfId="1240" builtinId="31" hidden="1"/>
    <cellStyle name="40% - Accent1" xfId="1279" builtinId="31" hidden="1"/>
    <cellStyle name="40% - Accent1" xfId="1326" builtinId="31" hidden="1"/>
    <cellStyle name="40% - Accent1" xfId="1362" builtinId="31" hidden="1"/>
    <cellStyle name="40% - Accent1" xfId="1411" builtinId="31" hidden="1"/>
    <cellStyle name="40% - Accent1" xfId="1450" builtinId="31" hidden="1"/>
    <cellStyle name="40% - Accent1" xfId="1485" builtinId="31" hidden="1"/>
    <cellStyle name="40% - Accent1" xfId="1523" builtinId="31" hidden="1"/>
    <cellStyle name="40% - Accent1" xfId="1520" builtinId="31" hidden="1"/>
    <cellStyle name="40% - Accent1" xfId="1576" builtinId="31" hidden="1"/>
    <cellStyle name="40% - Accent1" xfId="1616" builtinId="31" hidden="1"/>
    <cellStyle name="40% - Accent1" xfId="1662" builtinId="31" hidden="1"/>
    <cellStyle name="40% - Accent1" xfId="1698" builtinId="31" hidden="1"/>
    <cellStyle name="40% - Accent1" xfId="1747" builtinId="31" hidden="1"/>
    <cellStyle name="40% - Accent1" xfId="1788" builtinId="31" hidden="1"/>
    <cellStyle name="40% - Accent1" xfId="1824" builtinId="31" hidden="1"/>
    <cellStyle name="40% - Accent1" xfId="1864" builtinId="31" hidden="1"/>
    <cellStyle name="40% - Accent1" xfId="1721" builtinId="31" hidden="1"/>
    <cellStyle name="40% - Accent1" xfId="1905" builtinId="31" hidden="1"/>
    <cellStyle name="40% - Accent1" xfId="1942" builtinId="31" hidden="1"/>
    <cellStyle name="40% - Accent1" xfId="1985" builtinId="31" hidden="1"/>
    <cellStyle name="40% - Accent1" xfId="2017" builtinId="31" hidden="1"/>
    <cellStyle name="40% - Accent1" xfId="2062" builtinId="31" hidden="1"/>
    <cellStyle name="40% - Accent1" xfId="2098" builtinId="31" hidden="1"/>
    <cellStyle name="40% - Accent1" xfId="2131" builtinId="31" hidden="1"/>
    <cellStyle name="40% - Accent1" xfId="2167" builtinId="31" hidden="1"/>
    <cellStyle name="40% - Accent1" xfId="975" builtinId="31" hidden="1"/>
    <cellStyle name="40% - Accent1" xfId="2205" builtinId="31" hidden="1"/>
    <cellStyle name="40% - Accent1" xfId="2239" builtinId="31" hidden="1"/>
    <cellStyle name="40% - Accent1" xfId="2292" builtinId="31" hidden="1"/>
    <cellStyle name="40% - Accent1" xfId="2345" builtinId="31" hidden="1"/>
    <cellStyle name="40% - Accent1" xfId="2395" builtinId="31" hidden="1"/>
    <cellStyle name="40% - Accent1" xfId="2439" builtinId="31" hidden="1"/>
    <cellStyle name="40% - Accent1" xfId="2476" builtinId="31" hidden="1"/>
    <cellStyle name="40% - Accent1" xfId="2516" builtinId="31" hidden="1"/>
    <cellStyle name="40% - Accent1" xfId="2554" builtinId="31" hidden="1"/>
    <cellStyle name="40% - Accent1" xfId="2589" builtinId="31" hidden="1"/>
    <cellStyle name="40% - Accent1" xfId="2642" builtinId="31" hidden="1"/>
    <cellStyle name="40% - Accent1" xfId="2693" builtinId="31" hidden="1"/>
    <cellStyle name="40% - Accent1" xfId="2737" builtinId="31" hidden="1"/>
    <cellStyle name="40% - Accent1" xfId="2773" builtinId="31" hidden="1"/>
    <cellStyle name="40% - Accent1" xfId="2813" builtinId="31" hidden="1"/>
    <cellStyle name="40% - Accent1" xfId="2851" builtinId="31" hidden="1"/>
    <cellStyle name="40% - Accent1" xfId="2612" builtinId="31" hidden="1"/>
    <cellStyle name="40% - Accent1" xfId="2924" builtinId="31" hidden="1"/>
    <cellStyle name="40% - Accent1" xfId="2974" builtinId="31" hidden="1"/>
    <cellStyle name="40% - Accent1" xfId="3018" builtinId="31" hidden="1"/>
    <cellStyle name="40% - Accent1" xfId="3055" builtinId="31" hidden="1"/>
    <cellStyle name="40% - Accent1" xfId="3095" builtinId="31" hidden="1"/>
    <cellStyle name="40% - Accent1" xfId="3133" builtinId="31" hidden="1"/>
    <cellStyle name="40% - Accent1" xfId="3158" builtinId="31" hidden="1"/>
    <cellStyle name="40% - Accent1" xfId="3208" builtinId="31" hidden="1"/>
    <cellStyle name="40% - Accent1" xfId="3257" builtinId="31" hidden="1"/>
    <cellStyle name="40% - Accent1" xfId="3299" builtinId="31" hidden="1"/>
    <cellStyle name="40% - Accent1" xfId="3335" builtinId="31" hidden="1"/>
    <cellStyle name="40% - Accent1" xfId="3375" builtinId="31" hidden="1"/>
    <cellStyle name="40% - Accent1" xfId="3413" builtinId="31" hidden="1"/>
    <cellStyle name="40% - Accent1" xfId="3180" builtinId="31" hidden="1"/>
    <cellStyle name="40% - Accent1" xfId="3472" builtinId="31" hidden="1"/>
    <cellStyle name="40% - Accent1" xfId="3520" builtinId="31" hidden="1"/>
    <cellStyle name="40% - Accent1" xfId="3563" builtinId="31" hidden="1"/>
    <cellStyle name="40% - Accent1" xfId="3600" builtinId="31" hidden="1"/>
    <cellStyle name="40% - Accent1" xfId="3640" builtinId="31" hidden="1"/>
    <cellStyle name="40% - Accent1" xfId="3678" builtinId="31" hidden="1"/>
    <cellStyle name="40% - Accent1" xfId="3721" builtinId="31" hidden="1"/>
    <cellStyle name="40% - Accent1" xfId="3767" builtinId="31" hidden="1"/>
    <cellStyle name="40% - Accent2" xfId="31" builtinId="35" hidden="1"/>
    <cellStyle name="40% - Accent2" xfId="92" builtinId="35" hidden="1"/>
    <cellStyle name="40% - Accent2" xfId="140" builtinId="35" hidden="1"/>
    <cellStyle name="40% - Accent2" xfId="184" builtinId="35" hidden="1"/>
    <cellStyle name="40% - Accent2" xfId="237" builtinId="35" hidden="1"/>
    <cellStyle name="40% - Accent2" xfId="266" builtinId="35" hidden="1"/>
    <cellStyle name="40% - Accent2" xfId="319" builtinId="35" hidden="1"/>
    <cellStyle name="40% - Accent2" xfId="349" builtinId="35" hidden="1"/>
    <cellStyle name="40% - Accent2" xfId="399" builtinId="35" hidden="1"/>
    <cellStyle name="40% - Accent2" xfId="430" builtinId="35" hidden="1"/>
    <cellStyle name="40% - Accent2" xfId="482" builtinId="35" hidden="1"/>
    <cellStyle name="40% - Accent2" xfId="511" builtinId="35" hidden="1"/>
    <cellStyle name="40% - Accent2" xfId="560" builtinId="35" hidden="1"/>
    <cellStyle name="40% - Accent2" xfId="591" builtinId="35" hidden="1"/>
    <cellStyle name="40% - Accent2" xfId="633" builtinId="35" hidden="1"/>
    <cellStyle name="40% - Accent2" xfId="675" builtinId="35" hidden="1"/>
    <cellStyle name="40% - Accent2" xfId="721" builtinId="35" hidden="1"/>
    <cellStyle name="40% - Accent2" xfId="763" builtinId="35" hidden="1"/>
    <cellStyle name="40% - Accent2" xfId="811" builtinId="35" hidden="1"/>
    <cellStyle name="40% - Accent2" xfId="861" builtinId="35" hidden="1"/>
    <cellStyle name="40% - Accent2" xfId="900" builtinId="35" hidden="1"/>
    <cellStyle name="40% - Accent2" xfId="948" builtinId="35" hidden="1"/>
    <cellStyle name="40% - Accent2" xfId="983" builtinId="35" hidden="1"/>
    <cellStyle name="40% - Accent2" xfId="1032" builtinId="35" hidden="1"/>
    <cellStyle name="40% - Accent2" xfId="1072" builtinId="35" hidden="1"/>
    <cellStyle name="40% - Accent2" xfId="1109" builtinId="35" hidden="1"/>
    <cellStyle name="40% - Accent2" xfId="1149" builtinId="35" hidden="1"/>
    <cellStyle name="40% - Accent2" xfId="1196" builtinId="35" hidden="1"/>
    <cellStyle name="40% - Accent2" xfId="1244" builtinId="35" hidden="1"/>
    <cellStyle name="40% - Accent2" xfId="1283" builtinId="35" hidden="1"/>
    <cellStyle name="40% - Accent2" xfId="1330" builtinId="35" hidden="1"/>
    <cellStyle name="40% - Accent2" xfId="1366" builtinId="35" hidden="1"/>
    <cellStyle name="40% - Accent2" xfId="1415" builtinId="35" hidden="1"/>
    <cellStyle name="40% - Accent2" xfId="1454" builtinId="35" hidden="1"/>
    <cellStyle name="40% - Accent2" xfId="1489" builtinId="35" hidden="1"/>
    <cellStyle name="40% - Accent2" xfId="1527" builtinId="35" hidden="1"/>
    <cellStyle name="40% - Accent2" xfId="1445" builtinId="35" hidden="1"/>
    <cellStyle name="40% - Accent2" xfId="1580" builtinId="35" hidden="1"/>
    <cellStyle name="40% - Accent2" xfId="1620" builtinId="35" hidden="1"/>
    <cellStyle name="40% - Accent2" xfId="1666" builtinId="35" hidden="1"/>
    <cellStyle name="40% - Accent2" xfId="1702" builtinId="35" hidden="1"/>
    <cellStyle name="40% - Accent2" xfId="1751" builtinId="35" hidden="1"/>
    <cellStyle name="40% - Accent2" xfId="1792" builtinId="35" hidden="1"/>
    <cellStyle name="40% - Accent2" xfId="1828" builtinId="35" hidden="1"/>
    <cellStyle name="40% - Accent2" xfId="1868" builtinId="35" hidden="1"/>
    <cellStyle name="40% - Accent2" xfId="1551" builtinId="35" hidden="1"/>
    <cellStyle name="40% - Accent2" xfId="1909" builtinId="35" hidden="1"/>
    <cellStyle name="40% - Accent2" xfId="1946" builtinId="35" hidden="1"/>
    <cellStyle name="40% - Accent2" xfId="1989" builtinId="35" hidden="1"/>
    <cellStyle name="40% - Accent2" xfId="2021" builtinId="35" hidden="1"/>
    <cellStyle name="40% - Accent2" xfId="2066" builtinId="35" hidden="1"/>
    <cellStyle name="40% - Accent2" xfId="2102" builtinId="35" hidden="1"/>
    <cellStyle name="40% - Accent2" xfId="2135" builtinId="35" hidden="1"/>
    <cellStyle name="40% - Accent2" xfId="2171" builtinId="35" hidden="1"/>
    <cellStyle name="40% - Accent2" xfId="940" builtinId="35" hidden="1"/>
    <cellStyle name="40% - Accent2" xfId="2209" builtinId="35" hidden="1"/>
    <cellStyle name="40% - Accent2" xfId="2243" builtinId="35" hidden="1"/>
    <cellStyle name="40% - Accent2" xfId="2296" builtinId="35" hidden="1"/>
    <cellStyle name="40% - Accent2" xfId="2349" builtinId="35" hidden="1"/>
    <cellStyle name="40% - Accent2" xfId="2399" builtinId="35" hidden="1"/>
    <cellStyle name="40% - Accent2" xfId="2443" builtinId="35" hidden="1"/>
    <cellStyle name="40% - Accent2" xfId="2480" builtinId="35" hidden="1"/>
    <cellStyle name="40% - Accent2" xfId="2520" builtinId="35" hidden="1"/>
    <cellStyle name="40% - Accent2" xfId="2558" builtinId="35" hidden="1"/>
    <cellStyle name="40% - Accent2" xfId="2593" builtinId="35" hidden="1"/>
    <cellStyle name="40% - Accent2" xfId="2646" builtinId="35" hidden="1"/>
    <cellStyle name="40% - Accent2" xfId="2697" builtinId="35" hidden="1"/>
    <cellStyle name="40% - Accent2" xfId="2741" builtinId="35" hidden="1"/>
    <cellStyle name="40% - Accent2" xfId="2777" builtinId="35" hidden="1"/>
    <cellStyle name="40% - Accent2" xfId="2817" builtinId="35" hidden="1"/>
    <cellStyle name="40% - Accent2" xfId="2855" builtinId="35" hidden="1"/>
    <cellStyle name="40% - Accent2" xfId="2875" builtinId="35" hidden="1"/>
    <cellStyle name="40% - Accent2" xfId="2928" builtinId="35" hidden="1"/>
    <cellStyle name="40% - Accent2" xfId="2978" builtinId="35" hidden="1"/>
    <cellStyle name="40% - Accent2" xfId="3022" builtinId="35" hidden="1"/>
    <cellStyle name="40% - Accent2" xfId="3059" builtinId="35" hidden="1"/>
    <cellStyle name="40% - Accent2" xfId="3099" builtinId="35" hidden="1"/>
    <cellStyle name="40% - Accent2" xfId="3137" builtinId="35" hidden="1"/>
    <cellStyle name="40% - Accent2" xfId="3162" builtinId="35" hidden="1"/>
    <cellStyle name="40% - Accent2" xfId="3212" builtinId="35" hidden="1"/>
    <cellStyle name="40% - Accent2" xfId="3261" builtinId="35" hidden="1"/>
    <cellStyle name="40% - Accent2" xfId="3303" builtinId="35" hidden="1"/>
    <cellStyle name="40% - Accent2" xfId="3339" builtinId="35" hidden="1"/>
    <cellStyle name="40% - Accent2" xfId="3379" builtinId="35" hidden="1"/>
    <cellStyle name="40% - Accent2" xfId="3417" builtinId="35" hidden="1"/>
    <cellStyle name="40% - Accent2" xfId="2946" builtinId="35" hidden="1"/>
    <cellStyle name="40% - Accent2" xfId="3476" builtinId="35" hidden="1"/>
    <cellStyle name="40% - Accent2" xfId="3524" builtinId="35" hidden="1"/>
    <cellStyle name="40% - Accent2" xfId="3567" builtinId="35" hidden="1"/>
    <cellStyle name="40% - Accent2" xfId="3604" builtinId="35" hidden="1"/>
    <cellStyle name="40% - Accent2" xfId="3644" builtinId="35" hidden="1"/>
    <cellStyle name="40% - Accent2" xfId="3682" builtinId="35" hidden="1"/>
    <cellStyle name="40% - Accent2" xfId="3725" builtinId="35" hidden="1"/>
    <cellStyle name="40% - Accent2" xfId="3771" builtinId="35" hidden="1"/>
    <cellStyle name="40% - Accent3" xfId="35" builtinId="39" hidden="1"/>
    <cellStyle name="40% - Accent3" xfId="96" builtinId="39" hidden="1"/>
    <cellStyle name="40% - Accent3" xfId="144" builtinId="39" hidden="1"/>
    <cellStyle name="40% - Accent3" xfId="188" builtinId="39" hidden="1"/>
    <cellStyle name="40% - Accent3" xfId="241" builtinId="39" hidden="1"/>
    <cellStyle name="40% - Accent3" xfId="270" builtinId="39" hidden="1"/>
    <cellStyle name="40% - Accent3" xfId="323" builtinId="39" hidden="1"/>
    <cellStyle name="40% - Accent3" xfId="353" builtinId="39" hidden="1"/>
    <cellStyle name="40% - Accent3" xfId="403" builtinId="39" hidden="1"/>
    <cellStyle name="40% - Accent3" xfId="434" builtinId="39" hidden="1"/>
    <cellStyle name="40% - Accent3" xfId="486" builtinId="39" hidden="1"/>
    <cellStyle name="40% - Accent3" xfId="515" builtinId="39" hidden="1"/>
    <cellStyle name="40% - Accent3" xfId="564" builtinId="39" hidden="1"/>
    <cellStyle name="40% - Accent3" xfId="595" builtinId="39" hidden="1"/>
    <cellStyle name="40% - Accent3" xfId="637" builtinId="39" hidden="1"/>
    <cellStyle name="40% - Accent3" xfId="679" builtinId="39" hidden="1"/>
    <cellStyle name="40% - Accent3" xfId="725" builtinId="39" hidden="1"/>
    <cellStyle name="40% - Accent3" xfId="767" builtinId="39" hidden="1"/>
    <cellStyle name="40% - Accent3" xfId="815" builtinId="39" hidden="1"/>
    <cellStyle name="40% - Accent3" xfId="865" builtinId="39" hidden="1"/>
    <cellStyle name="40% - Accent3" xfId="904" builtinId="39" hidden="1"/>
    <cellStyle name="40% - Accent3" xfId="952" builtinId="39" hidden="1"/>
    <cellStyle name="40% - Accent3" xfId="987" builtinId="39" hidden="1"/>
    <cellStyle name="40% - Accent3" xfId="1036" builtinId="39" hidden="1"/>
    <cellStyle name="40% - Accent3" xfId="1076" builtinId="39" hidden="1"/>
    <cellStyle name="40% - Accent3" xfId="1113" builtinId="39" hidden="1"/>
    <cellStyle name="40% - Accent3" xfId="1153" builtinId="39" hidden="1"/>
    <cellStyle name="40% - Accent3" xfId="1200" builtinId="39" hidden="1"/>
    <cellStyle name="40% - Accent3" xfId="1248" builtinId="39" hidden="1"/>
    <cellStyle name="40% - Accent3" xfId="1287" builtinId="39" hidden="1"/>
    <cellStyle name="40% - Accent3" xfId="1334" builtinId="39" hidden="1"/>
    <cellStyle name="40% - Accent3" xfId="1370" builtinId="39" hidden="1"/>
    <cellStyle name="40% - Accent3" xfId="1419" builtinId="39" hidden="1"/>
    <cellStyle name="40% - Accent3" xfId="1458" builtinId="39" hidden="1"/>
    <cellStyle name="40% - Accent3" xfId="1493" builtinId="39" hidden="1"/>
    <cellStyle name="40% - Accent3" xfId="1531" builtinId="39" hidden="1"/>
    <cellStyle name="40% - Accent3" xfId="1217" builtinId="39" hidden="1"/>
    <cellStyle name="40% - Accent3" xfId="1584" builtinId="39" hidden="1"/>
    <cellStyle name="40% - Accent3" xfId="1624" builtinId="39" hidden="1"/>
    <cellStyle name="40% - Accent3" xfId="1670" builtinId="39" hidden="1"/>
    <cellStyle name="40% - Accent3" xfId="1706" builtinId="39" hidden="1"/>
    <cellStyle name="40% - Accent3" xfId="1755" builtinId="39" hidden="1"/>
    <cellStyle name="40% - Accent3" xfId="1796" builtinId="39" hidden="1"/>
    <cellStyle name="40% - Accent3" xfId="1832" builtinId="39" hidden="1"/>
    <cellStyle name="40% - Accent3" xfId="1872" builtinId="39" hidden="1"/>
    <cellStyle name="40% - Accent3" xfId="1688" builtinId="39" hidden="1"/>
    <cellStyle name="40% - Accent3" xfId="1913" builtinId="39" hidden="1"/>
    <cellStyle name="40% - Accent3" xfId="1950" builtinId="39" hidden="1"/>
    <cellStyle name="40% - Accent3" xfId="1993" builtinId="39" hidden="1"/>
    <cellStyle name="40% - Accent3" xfId="2025" builtinId="39" hidden="1"/>
    <cellStyle name="40% - Accent3" xfId="2070" builtinId="39" hidden="1"/>
    <cellStyle name="40% - Accent3" xfId="2106" builtinId="39" hidden="1"/>
    <cellStyle name="40% - Accent3" xfId="2139" builtinId="39" hidden="1"/>
    <cellStyle name="40% - Accent3" xfId="2175" builtinId="39" hidden="1"/>
    <cellStyle name="40% - Accent3" xfId="1059" builtinId="39" hidden="1"/>
    <cellStyle name="40% - Accent3" xfId="2213" builtinId="39" hidden="1"/>
    <cellStyle name="40% - Accent3" xfId="2247" builtinId="39" hidden="1"/>
    <cellStyle name="40% - Accent3" xfId="2300" builtinId="39" hidden="1"/>
    <cellStyle name="40% - Accent3" xfId="2353" builtinId="39" hidden="1"/>
    <cellStyle name="40% - Accent3" xfId="2403" builtinId="39" hidden="1"/>
    <cellStyle name="40% - Accent3" xfId="2447" builtinId="39" hidden="1"/>
    <cellStyle name="40% - Accent3" xfId="2484" builtinId="39" hidden="1"/>
    <cellStyle name="40% - Accent3" xfId="2524" builtinId="39" hidden="1"/>
    <cellStyle name="40% - Accent3" xfId="2562" builtinId="39" hidden="1"/>
    <cellStyle name="40% - Accent3" xfId="2597" builtinId="39" hidden="1"/>
    <cellStyle name="40% - Accent3" xfId="2650" builtinId="39" hidden="1"/>
    <cellStyle name="40% - Accent3" xfId="2701" builtinId="39" hidden="1"/>
    <cellStyle name="40% - Accent3" xfId="2745" builtinId="39" hidden="1"/>
    <cellStyle name="40% - Accent3" xfId="2781" builtinId="39" hidden="1"/>
    <cellStyle name="40% - Accent3" xfId="2821" builtinId="39" hidden="1"/>
    <cellStyle name="40% - Accent3" xfId="2859" builtinId="39" hidden="1"/>
    <cellStyle name="40% - Accent3" xfId="2879" builtinId="39" hidden="1"/>
    <cellStyle name="40% - Accent3" xfId="2932" builtinId="39" hidden="1"/>
    <cellStyle name="40% - Accent3" xfId="2982" builtinId="39" hidden="1"/>
    <cellStyle name="40% - Accent3" xfId="3026" builtinId="39" hidden="1"/>
    <cellStyle name="40% - Accent3" xfId="3063" builtinId="39" hidden="1"/>
    <cellStyle name="40% - Accent3" xfId="3103" builtinId="39" hidden="1"/>
    <cellStyle name="40% - Accent3" xfId="3141" builtinId="39" hidden="1"/>
    <cellStyle name="40% - Accent3" xfId="3166" builtinId="39" hidden="1"/>
    <cellStyle name="40% - Accent3" xfId="3216" builtinId="39" hidden="1"/>
    <cellStyle name="40% - Accent3" xfId="3265" builtinId="39" hidden="1"/>
    <cellStyle name="40% - Accent3" xfId="3307" builtinId="39" hidden="1"/>
    <cellStyle name="40% - Accent3" xfId="3343" builtinId="39" hidden="1"/>
    <cellStyle name="40% - Accent3" xfId="3383" builtinId="39" hidden="1"/>
    <cellStyle name="40% - Accent3" xfId="3421" builtinId="39" hidden="1"/>
    <cellStyle name="40% - Accent3" xfId="3440" builtinId="39" hidden="1"/>
    <cellStyle name="40% - Accent3" xfId="3480" builtinId="39" hidden="1"/>
    <cellStyle name="40% - Accent3" xfId="3528" builtinId="39" hidden="1"/>
    <cellStyle name="40% - Accent3" xfId="3571" builtinId="39" hidden="1"/>
    <cellStyle name="40% - Accent3" xfId="3608" builtinId="39" hidden="1"/>
    <cellStyle name="40% - Accent3" xfId="3648" builtinId="39" hidden="1"/>
    <cellStyle name="40% - Accent3" xfId="3686" builtinId="39" hidden="1"/>
    <cellStyle name="40% - Accent3" xfId="3729" builtinId="39" hidden="1"/>
    <cellStyle name="40% - Accent3" xfId="3775" builtinId="39" hidden="1"/>
    <cellStyle name="40% - Accent4" xfId="39" builtinId="43" hidden="1"/>
    <cellStyle name="40% - Accent4" xfId="100" builtinId="43" hidden="1"/>
    <cellStyle name="40% - Accent4" xfId="148" builtinId="43" hidden="1"/>
    <cellStyle name="40% - Accent4" xfId="192" builtinId="43" hidden="1"/>
    <cellStyle name="40% - Accent4" xfId="245" builtinId="43" hidden="1"/>
    <cellStyle name="40% - Accent4" xfId="274" builtinId="43" hidden="1"/>
    <cellStyle name="40% - Accent4" xfId="327" builtinId="43" hidden="1"/>
    <cellStyle name="40% - Accent4" xfId="357" builtinId="43" hidden="1"/>
    <cellStyle name="40% - Accent4" xfId="407" builtinId="43" hidden="1"/>
    <cellStyle name="40% - Accent4" xfId="438" builtinId="43" hidden="1"/>
    <cellStyle name="40% - Accent4" xfId="490" builtinId="43" hidden="1"/>
    <cellStyle name="40% - Accent4" xfId="519" builtinId="43" hidden="1"/>
    <cellStyle name="40% - Accent4" xfId="568" builtinId="43" hidden="1"/>
    <cellStyle name="40% - Accent4" xfId="599" builtinId="43" hidden="1"/>
    <cellStyle name="40% - Accent4" xfId="641" builtinId="43" hidden="1"/>
    <cellStyle name="40% - Accent4" xfId="683" builtinId="43" hidden="1"/>
    <cellStyle name="40% - Accent4" xfId="729" builtinId="43" hidden="1"/>
    <cellStyle name="40% - Accent4" xfId="771" builtinId="43" hidden="1"/>
    <cellStyle name="40% - Accent4" xfId="819" builtinId="43" hidden="1"/>
    <cellStyle name="40% - Accent4" xfId="869" builtinId="43" hidden="1"/>
    <cellStyle name="40% - Accent4" xfId="908" builtinId="43" hidden="1"/>
    <cellStyle name="40% - Accent4" xfId="956" builtinId="43" hidden="1"/>
    <cellStyle name="40% - Accent4" xfId="991" builtinId="43" hidden="1"/>
    <cellStyle name="40% - Accent4" xfId="1040" builtinId="43" hidden="1"/>
    <cellStyle name="40% - Accent4" xfId="1080" builtinId="43" hidden="1"/>
    <cellStyle name="40% - Accent4" xfId="1117" builtinId="43" hidden="1"/>
    <cellStyle name="40% - Accent4" xfId="1157" builtinId="43" hidden="1"/>
    <cellStyle name="40% - Accent4" xfId="1204" builtinId="43" hidden="1"/>
    <cellStyle name="40% - Accent4" xfId="1252" builtinId="43" hidden="1"/>
    <cellStyle name="40% - Accent4" xfId="1291" builtinId="43" hidden="1"/>
    <cellStyle name="40% - Accent4" xfId="1338" builtinId="43" hidden="1"/>
    <cellStyle name="40% - Accent4" xfId="1374" builtinId="43" hidden="1"/>
    <cellStyle name="40% - Accent4" xfId="1423" builtinId="43" hidden="1"/>
    <cellStyle name="40% - Accent4" xfId="1462" builtinId="43" hidden="1"/>
    <cellStyle name="40% - Accent4" xfId="1497" builtinId="43" hidden="1"/>
    <cellStyle name="40% - Accent4" xfId="1535" builtinId="43" hidden="1"/>
    <cellStyle name="40% - Accent4" xfId="1173" builtinId="43" hidden="1"/>
    <cellStyle name="40% - Accent4" xfId="1588" builtinId="43" hidden="1"/>
    <cellStyle name="40% - Accent4" xfId="1628" builtinId="43" hidden="1"/>
    <cellStyle name="40% - Accent4" xfId="1674" builtinId="43" hidden="1"/>
    <cellStyle name="40% - Accent4" xfId="1710" builtinId="43" hidden="1"/>
    <cellStyle name="40% - Accent4" xfId="1759" builtinId="43" hidden="1"/>
    <cellStyle name="40% - Accent4" xfId="1800" builtinId="43" hidden="1"/>
    <cellStyle name="40% - Accent4" xfId="1836" builtinId="43" hidden="1"/>
    <cellStyle name="40% - Accent4" xfId="1876" builtinId="43" hidden="1"/>
    <cellStyle name="40% - Accent4" xfId="1549" builtinId="43" hidden="1"/>
    <cellStyle name="40% - Accent4" xfId="1917" builtinId="43" hidden="1"/>
    <cellStyle name="40% - Accent4" xfId="1954" builtinId="43" hidden="1"/>
    <cellStyle name="40% - Accent4" xfId="1997" builtinId="43" hidden="1"/>
    <cellStyle name="40% - Accent4" xfId="2029" builtinId="43" hidden="1"/>
    <cellStyle name="40% - Accent4" xfId="2074" builtinId="43" hidden="1"/>
    <cellStyle name="40% - Accent4" xfId="2110" builtinId="43" hidden="1"/>
    <cellStyle name="40% - Accent4" xfId="2143" builtinId="43" hidden="1"/>
    <cellStyle name="40% - Accent4" xfId="2179" builtinId="43" hidden="1"/>
    <cellStyle name="40% - Accent4" xfId="1128" builtinId="43" hidden="1"/>
    <cellStyle name="40% - Accent4" xfId="2217" builtinId="43" hidden="1"/>
    <cellStyle name="40% - Accent4" xfId="2251" builtinId="43" hidden="1"/>
    <cellStyle name="40% - Accent4" xfId="2304" builtinId="43" hidden="1"/>
    <cellStyle name="40% - Accent4" xfId="2357" builtinId="43" hidden="1"/>
    <cellStyle name="40% - Accent4" xfId="2407" builtinId="43" hidden="1"/>
    <cellStyle name="40% - Accent4" xfId="2451" builtinId="43" hidden="1"/>
    <cellStyle name="40% - Accent4" xfId="2488" builtinId="43" hidden="1"/>
    <cellStyle name="40% - Accent4" xfId="2528" builtinId="43" hidden="1"/>
    <cellStyle name="40% - Accent4" xfId="2566" builtinId="43" hidden="1"/>
    <cellStyle name="40% - Accent4" xfId="2601" builtinId="43" hidden="1"/>
    <cellStyle name="40% - Accent4" xfId="2654" builtinId="43" hidden="1"/>
    <cellStyle name="40% - Accent4" xfId="2705" builtinId="43" hidden="1"/>
    <cellStyle name="40% - Accent4" xfId="2749" builtinId="43" hidden="1"/>
    <cellStyle name="40% - Accent4" xfId="2785" builtinId="43" hidden="1"/>
    <cellStyle name="40% - Accent4" xfId="2825" builtinId="43" hidden="1"/>
    <cellStyle name="40% - Accent4" xfId="2863" builtinId="43" hidden="1"/>
    <cellStyle name="40% - Accent4" xfId="2883" builtinId="43" hidden="1"/>
    <cellStyle name="40% - Accent4" xfId="2936" builtinId="43" hidden="1"/>
    <cellStyle name="40% - Accent4" xfId="2986" builtinId="43" hidden="1"/>
    <cellStyle name="40% - Accent4" xfId="3030" builtinId="43" hidden="1"/>
    <cellStyle name="40% - Accent4" xfId="3067" builtinId="43" hidden="1"/>
    <cellStyle name="40% - Accent4" xfId="3107" builtinId="43" hidden="1"/>
    <cellStyle name="40% - Accent4" xfId="3145" builtinId="43" hidden="1"/>
    <cellStyle name="40% - Accent4" xfId="3170" builtinId="43" hidden="1"/>
    <cellStyle name="40% - Accent4" xfId="3220" builtinId="43" hidden="1"/>
    <cellStyle name="40% - Accent4" xfId="3269" builtinId="43" hidden="1"/>
    <cellStyle name="40% - Accent4" xfId="3311" builtinId="43" hidden="1"/>
    <cellStyle name="40% - Accent4" xfId="3347" builtinId="43" hidden="1"/>
    <cellStyle name="40% - Accent4" xfId="3387" builtinId="43" hidden="1"/>
    <cellStyle name="40% - Accent4" xfId="3425" builtinId="43" hidden="1"/>
    <cellStyle name="40% - Accent4" xfId="3444" builtinId="43" hidden="1"/>
    <cellStyle name="40% - Accent4" xfId="3484" builtinId="43" hidden="1"/>
    <cellStyle name="40% - Accent4" xfId="3532" builtinId="43" hidden="1"/>
    <cellStyle name="40% - Accent4" xfId="3575" builtinId="43" hidden="1"/>
    <cellStyle name="40% - Accent4" xfId="3612" builtinId="43" hidden="1"/>
    <cellStyle name="40% - Accent4" xfId="3652" builtinId="43" hidden="1"/>
    <cellStyle name="40% - Accent4" xfId="3690" builtinId="43" hidden="1"/>
    <cellStyle name="40% - Accent4" xfId="3733" builtinId="43" hidden="1"/>
    <cellStyle name="40% - Accent4" xfId="3779" builtinId="43" hidden="1"/>
    <cellStyle name="40% - Accent5" xfId="43" builtinId="47" hidden="1"/>
    <cellStyle name="40% - Accent5" xfId="104" builtinId="47" hidden="1"/>
    <cellStyle name="40% - Accent5" xfId="152" builtinId="47" hidden="1"/>
    <cellStyle name="40% - Accent5" xfId="196" builtinId="47" hidden="1"/>
    <cellStyle name="40% - Accent5" xfId="249" builtinId="47" hidden="1"/>
    <cellStyle name="40% - Accent5" xfId="278" builtinId="47" hidden="1"/>
    <cellStyle name="40% - Accent5" xfId="331" builtinId="47" hidden="1"/>
    <cellStyle name="40% - Accent5" xfId="361" builtinId="47" hidden="1"/>
    <cellStyle name="40% - Accent5" xfId="411" builtinId="47" hidden="1"/>
    <cellStyle name="40% - Accent5" xfId="442" builtinId="47" hidden="1"/>
    <cellStyle name="40% - Accent5" xfId="494" builtinId="47" hidden="1"/>
    <cellStyle name="40% - Accent5" xfId="523" builtinId="47" hidden="1"/>
    <cellStyle name="40% - Accent5" xfId="572" builtinId="47" hidden="1"/>
    <cellStyle name="40% - Accent5" xfId="603" builtinId="47" hidden="1"/>
    <cellStyle name="40% - Accent5" xfId="645" builtinId="47" hidden="1"/>
    <cellStyle name="40% - Accent5" xfId="687" builtinId="47" hidden="1"/>
    <cellStyle name="40% - Accent5" xfId="733" builtinId="47" hidden="1"/>
    <cellStyle name="40% - Accent5" xfId="775" builtinId="47" hidden="1"/>
    <cellStyle name="40% - Accent5" xfId="823" builtinId="47" hidden="1"/>
    <cellStyle name="40% - Accent5" xfId="873" builtinId="47" hidden="1"/>
    <cellStyle name="40% - Accent5" xfId="912" builtinId="47" hidden="1"/>
    <cellStyle name="40% - Accent5" xfId="960" builtinId="47" hidden="1"/>
    <cellStyle name="40% - Accent5" xfId="995" builtinId="47" hidden="1"/>
    <cellStyle name="40% - Accent5" xfId="1044" builtinId="47" hidden="1"/>
    <cellStyle name="40% - Accent5" xfId="1084" builtinId="47" hidden="1"/>
    <cellStyle name="40% - Accent5" xfId="1121" builtinId="47" hidden="1"/>
    <cellStyle name="40% - Accent5" xfId="1161" builtinId="47" hidden="1"/>
    <cellStyle name="40% - Accent5" xfId="1208" builtinId="47" hidden="1"/>
    <cellStyle name="40% - Accent5" xfId="1256" builtinId="47" hidden="1"/>
    <cellStyle name="40% - Accent5" xfId="1295" builtinId="47" hidden="1"/>
    <cellStyle name="40% - Accent5" xfId="1342" builtinId="47" hidden="1"/>
    <cellStyle name="40% - Accent5" xfId="1378" builtinId="47" hidden="1"/>
    <cellStyle name="40% - Accent5" xfId="1427" builtinId="47" hidden="1"/>
    <cellStyle name="40% - Accent5" xfId="1466" builtinId="47" hidden="1"/>
    <cellStyle name="40% - Accent5" xfId="1501" builtinId="47" hidden="1"/>
    <cellStyle name="40% - Accent5" xfId="1539" builtinId="47" hidden="1"/>
    <cellStyle name="40% - Accent5" xfId="1220" builtinId="47" hidden="1"/>
    <cellStyle name="40% - Accent5" xfId="1592" builtinId="47" hidden="1"/>
    <cellStyle name="40% - Accent5" xfId="1632" builtinId="47" hidden="1"/>
    <cellStyle name="40% - Accent5" xfId="1678" builtinId="47" hidden="1"/>
    <cellStyle name="40% - Accent5" xfId="1714" builtinId="47" hidden="1"/>
    <cellStyle name="40% - Accent5" xfId="1763" builtinId="47" hidden="1"/>
    <cellStyle name="40% - Accent5" xfId="1804" builtinId="47" hidden="1"/>
    <cellStyle name="40% - Accent5" xfId="1840" builtinId="47" hidden="1"/>
    <cellStyle name="40% - Accent5" xfId="1880" builtinId="47" hidden="1"/>
    <cellStyle name="40% - Accent5" xfId="1846" builtinId="47" hidden="1"/>
    <cellStyle name="40% - Accent5" xfId="1921" builtinId="47" hidden="1"/>
    <cellStyle name="40% - Accent5" xfId="1958" builtinId="47" hidden="1"/>
    <cellStyle name="40% - Accent5" xfId="2001" builtinId="47" hidden="1"/>
    <cellStyle name="40% - Accent5" xfId="2033" builtinId="47" hidden="1"/>
    <cellStyle name="40% - Accent5" xfId="2078" builtinId="47" hidden="1"/>
    <cellStyle name="40% - Accent5" xfId="2114" builtinId="47" hidden="1"/>
    <cellStyle name="40% - Accent5" xfId="2147" builtinId="47" hidden="1"/>
    <cellStyle name="40% - Accent5" xfId="2183" builtinId="47" hidden="1"/>
    <cellStyle name="40% - Accent5" xfId="1177" builtinId="47" hidden="1"/>
    <cellStyle name="40% - Accent5" xfId="2221" builtinId="47" hidden="1"/>
    <cellStyle name="40% - Accent5" xfId="2255" builtinId="47" hidden="1"/>
    <cellStyle name="40% - Accent5" xfId="2308" builtinId="47" hidden="1"/>
    <cellStyle name="40% - Accent5" xfId="2361" builtinId="47" hidden="1"/>
    <cellStyle name="40% - Accent5" xfId="2411" builtinId="47" hidden="1"/>
    <cellStyle name="40% - Accent5" xfId="2455" builtinId="47" hidden="1"/>
    <cellStyle name="40% - Accent5" xfId="2492" builtinId="47" hidden="1"/>
    <cellStyle name="40% - Accent5" xfId="2532" builtinId="47" hidden="1"/>
    <cellStyle name="40% - Accent5" xfId="2570" builtinId="47" hidden="1"/>
    <cellStyle name="40% - Accent5" xfId="2605" builtinId="47" hidden="1"/>
    <cellStyle name="40% - Accent5" xfId="2658" builtinId="47" hidden="1"/>
    <cellStyle name="40% - Accent5" xfId="2709" builtinId="47" hidden="1"/>
    <cellStyle name="40% - Accent5" xfId="2753" builtinId="47" hidden="1"/>
    <cellStyle name="40% - Accent5" xfId="2789" builtinId="47" hidden="1"/>
    <cellStyle name="40% - Accent5" xfId="2829" builtinId="47" hidden="1"/>
    <cellStyle name="40% - Accent5" xfId="2867" builtinId="47" hidden="1"/>
    <cellStyle name="40% - Accent5" xfId="2887" builtinId="47" hidden="1"/>
    <cellStyle name="40% - Accent5" xfId="2940" builtinId="47" hidden="1"/>
    <cellStyle name="40% - Accent5" xfId="2990" builtinId="47" hidden="1"/>
    <cellStyle name="40% - Accent5" xfId="3034" builtinId="47" hidden="1"/>
    <cellStyle name="40% - Accent5" xfId="3071" builtinId="47" hidden="1"/>
    <cellStyle name="40% - Accent5" xfId="3111" builtinId="47" hidden="1"/>
    <cellStyle name="40% - Accent5" xfId="3149" builtinId="47" hidden="1"/>
    <cellStyle name="40% - Accent5" xfId="3174" builtinId="47" hidden="1"/>
    <cellStyle name="40% - Accent5" xfId="3224" builtinId="47" hidden="1"/>
    <cellStyle name="40% - Accent5" xfId="3273" builtinId="47" hidden="1"/>
    <cellStyle name="40% - Accent5" xfId="3315" builtinId="47" hidden="1"/>
    <cellStyle name="40% - Accent5" xfId="3351" builtinId="47" hidden="1"/>
    <cellStyle name="40% - Accent5" xfId="3391" builtinId="47" hidden="1"/>
    <cellStyle name="40% - Accent5" xfId="3429" builtinId="47" hidden="1"/>
    <cellStyle name="40% - Accent5" xfId="3448" builtinId="47" hidden="1"/>
    <cellStyle name="40% - Accent5" xfId="3488" builtinId="47" hidden="1"/>
    <cellStyle name="40% - Accent5" xfId="3536" builtinId="47" hidden="1"/>
    <cellStyle name="40% - Accent5" xfId="3579" builtinId="47" hidden="1"/>
    <cellStyle name="40% - Accent5" xfId="3616" builtinId="47" hidden="1"/>
    <cellStyle name="40% - Accent5" xfId="3656" builtinId="47" hidden="1"/>
    <cellStyle name="40% - Accent5" xfId="3694" builtinId="47" hidden="1"/>
    <cellStyle name="40% - Accent5" xfId="3737" builtinId="47" hidden="1"/>
    <cellStyle name="40% - Accent5" xfId="3783" builtinId="47" hidden="1"/>
    <cellStyle name="40% - Accent6" xfId="47" builtinId="51" hidden="1"/>
    <cellStyle name="40% - Accent6" xfId="108" builtinId="51" hidden="1"/>
    <cellStyle name="40% - Accent6" xfId="156" builtinId="51" hidden="1"/>
    <cellStyle name="40% - Accent6" xfId="200" builtinId="51" hidden="1"/>
    <cellStyle name="40% - Accent6" xfId="253" builtinId="51" hidden="1"/>
    <cellStyle name="40% - Accent6" xfId="282" builtinId="51" hidden="1"/>
    <cellStyle name="40% - Accent6" xfId="335" builtinId="51" hidden="1"/>
    <cellStyle name="40% - Accent6" xfId="365" builtinId="51" hidden="1"/>
    <cellStyle name="40% - Accent6" xfId="415" builtinId="51" hidden="1"/>
    <cellStyle name="40% - Accent6" xfId="446" builtinId="51" hidden="1"/>
    <cellStyle name="40% - Accent6" xfId="498" builtinId="51" hidden="1"/>
    <cellStyle name="40% - Accent6" xfId="527" builtinId="51" hidden="1"/>
    <cellStyle name="40% - Accent6" xfId="576" builtinId="51" hidden="1"/>
    <cellStyle name="40% - Accent6" xfId="607" builtinId="51" hidden="1"/>
    <cellStyle name="40% - Accent6" xfId="649" builtinId="51" hidden="1"/>
    <cellStyle name="40% - Accent6" xfId="691" builtinId="51" hidden="1"/>
    <cellStyle name="40% - Accent6" xfId="737" builtinId="51" hidden="1"/>
    <cellStyle name="40% - Accent6" xfId="779" builtinId="51" hidden="1"/>
    <cellStyle name="40% - Accent6" xfId="827" builtinId="51" hidden="1"/>
    <cellStyle name="40% - Accent6" xfId="877" builtinId="51" hidden="1"/>
    <cellStyle name="40% - Accent6" xfId="916" builtinId="51" hidden="1"/>
    <cellStyle name="40% - Accent6" xfId="964" builtinId="51" hidden="1"/>
    <cellStyle name="40% - Accent6" xfId="999" builtinId="51" hidden="1"/>
    <cellStyle name="40% - Accent6" xfId="1048" builtinId="51" hidden="1"/>
    <cellStyle name="40% - Accent6" xfId="1088" builtinId="51" hidden="1"/>
    <cellStyle name="40% - Accent6" xfId="1125" builtinId="51" hidden="1"/>
    <cellStyle name="40% - Accent6" xfId="1165" builtinId="51" hidden="1"/>
    <cellStyle name="40% - Accent6" xfId="1212" builtinId="51" hidden="1"/>
    <cellStyle name="40% - Accent6" xfId="1260" builtinId="51" hidden="1"/>
    <cellStyle name="40% - Accent6" xfId="1299" builtinId="51" hidden="1"/>
    <cellStyle name="40% - Accent6" xfId="1346" builtinId="51" hidden="1"/>
    <cellStyle name="40% - Accent6" xfId="1382" builtinId="51" hidden="1"/>
    <cellStyle name="40% - Accent6" xfId="1431" builtinId="51" hidden="1"/>
    <cellStyle name="40% - Accent6" xfId="1470" builtinId="51" hidden="1"/>
    <cellStyle name="40% - Accent6" xfId="1505" builtinId="51" hidden="1"/>
    <cellStyle name="40% - Accent6" xfId="1543" builtinId="51" hidden="1"/>
    <cellStyle name="40% - Accent6" xfId="1547" builtinId="51" hidden="1"/>
    <cellStyle name="40% - Accent6" xfId="1596" builtinId="51" hidden="1"/>
    <cellStyle name="40% - Accent6" xfId="1636" builtinId="51" hidden="1"/>
    <cellStyle name="40% - Accent6" xfId="1682" builtinId="51" hidden="1"/>
    <cellStyle name="40% - Accent6" xfId="1718" builtinId="51" hidden="1"/>
    <cellStyle name="40% - Accent6" xfId="1767" builtinId="51" hidden="1"/>
    <cellStyle name="40% - Accent6" xfId="1808" builtinId="51" hidden="1"/>
    <cellStyle name="40% - Accent6" xfId="1844" builtinId="51" hidden="1"/>
    <cellStyle name="40% - Accent6" xfId="1884" builtinId="51" hidden="1"/>
    <cellStyle name="40% - Accent6" xfId="1774" builtinId="51" hidden="1"/>
    <cellStyle name="40% - Accent6" xfId="1925" builtinId="51" hidden="1"/>
    <cellStyle name="40% - Accent6" xfId="1962" builtinId="51" hidden="1"/>
    <cellStyle name="40% - Accent6" xfId="2005" builtinId="51" hidden="1"/>
    <cellStyle name="40% - Accent6" xfId="2037" builtinId="51" hidden="1"/>
    <cellStyle name="40% - Accent6" xfId="2082" builtinId="51" hidden="1"/>
    <cellStyle name="40% - Accent6" xfId="2118" builtinId="51" hidden="1"/>
    <cellStyle name="40% - Accent6" xfId="2151" builtinId="51" hidden="1"/>
    <cellStyle name="40% - Accent6" xfId="2187" builtinId="51" hidden="1"/>
    <cellStyle name="40% - Accent6" xfId="830" builtinId="51" hidden="1"/>
    <cellStyle name="40% - Accent6" xfId="2225" builtinId="51" hidden="1"/>
    <cellStyle name="40% - Accent6" xfId="2259" builtinId="51" hidden="1"/>
    <cellStyle name="40% - Accent6" xfId="2312" builtinId="51" hidden="1"/>
    <cellStyle name="40% - Accent6" xfId="2365" builtinId="51" hidden="1"/>
    <cellStyle name="40% - Accent6" xfId="2415" builtinId="51" hidden="1"/>
    <cellStyle name="40% - Accent6" xfId="2459" builtinId="51" hidden="1"/>
    <cellStyle name="40% - Accent6" xfId="2496" builtinId="51" hidden="1"/>
    <cellStyle name="40% - Accent6" xfId="2536" builtinId="51" hidden="1"/>
    <cellStyle name="40% - Accent6" xfId="2574" builtinId="51" hidden="1"/>
    <cellStyle name="40% - Accent6" xfId="2609" builtinId="51" hidden="1"/>
    <cellStyle name="40% - Accent6" xfId="2662" builtinId="51" hidden="1"/>
    <cellStyle name="40% - Accent6" xfId="2713" builtinId="51" hidden="1"/>
    <cellStyle name="40% - Accent6" xfId="2757" builtinId="51" hidden="1"/>
    <cellStyle name="40% - Accent6" xfId="2793" builtinId="51" hidden="1"/>
    <cellStyle name="40% - Accent6" xfId="2833" builtinId="51" hidden="1"/>
    <cellStyle name="40% - Accent6" xfId="2871" builtinId="51" hidden="1"/>
    <cellStyle name="40% - Accent6" xfId="2891" builtinId="51" hidden="1"/>
    <cellStyle name="40% - Accent6" xfId="2944" builtinId="51" hidden="1"/>
    <cellStyle name="40% - Accent6" xfId="2994" builtinId="51" hidden="1"/>
    <cellStyle name="40% - Accent6" xfId="3038" builtinId="51" hidden="1"/>
    <cellStyle name="40% - Accent6" xfId="3075" builtinId="51" hidden="1"/>
    <cellStyle name="40% - Accent6" xfId="3115" builtinId="51" hidden="1"/>
    <cellStyle name="40% - Accent6" xfId="3153" builtinId="51" hidden="1"/>
    <cellStyle name="40% - Accent6" xfId="3178" builtinId="51" hidden="1"/>
    <cellStyle name="40% - Accent6" xfId="3228" builtinId="51" hidden="1"/>
    <cellStyle name="40% - Accent6" xfId="3277" builtinId="51" hidden="1"/>
    <cellStyle name="40% - Accent6" xfId="3319" builtinId="51" hidden="1"/>
    <cellStyle name="40% - Accent6" xfId="3355" builtinId="51" hidden="1"/>
    <cellStyle name="40% - Accent6" xfId="3395" builtinId="51" hidden="1"/>
    <cellStyle name="40% - Accent6" xfId="3433" builtinId="51" hidden="1"/>
    <cellStyle name="40% - Accent6" xfId="3452" builtinId="51" hidden="1"/>
    <cellStyle name="40% - Accent6" xfId="3492" builtinId="51" hidden="1"/>
    <cellStyle name="40% - Accent6" xfId="3540" builtinId="51" hidden="1"/>
    <cellStyle name="40% - Accent6" xfId="3583" builtinId="51" hidden="1"/>
    <cellStyle name="40% - Accent6" xfId="3620" builtinId="51" hidden="1"/>
    <cellStyle name="40% - Accent6" xfId="3660" builtinId="51" hidden="1"/>
    <cellStyle name="40% - Accent6" xfId="3698" builtinId="51" hidden="1"/>
    <cellStyle name="40% - Accent6" xfId="3741" builtinId="51" hidden="1"/>
    <cellStyle name="40% - Accent6" xfId="3787" builtinId="51" hidden="1"/>
    <cellStyle name="60% - Accent1" xfId="28" builtinId="32" hidden="1"/>
    <cellStyle name="60% - Accent1" xfId="89" builtinId="32" hidden="1"/>
    <cellStyle name="60% - Accent1" xfId="137" builtinId="32" hidden="1"/>
    <cellStyle name="60% - Accent1" xfId="181" builtinId="32" hidden="1"/>
    <cellStyle name="60% - Accent1" xfId="234" builtinId="32" hidden="1"/>
    <cellStyle name="60% - Accent1" xfId="263" builtinId="32" hidden="1"/>
    <cellStyle name="60% - Accent1" xfId="316" builtinId="32" hidden="1"/>
    <cellStyle name="60% - Accent1" xfId="346" builtinId="32" hidden="1"/>
    <cellStyle name="60% - Accent1" xfId="396" builtinId="32" hidden="1"/>
    <cellStyle name="60% - Accent1" xfId="427" builtinId="32" hidden="1"/>
    <cellStyle name="60% - Accent1" xfId="479" builtinId="32" hidden="1"/>
    <cellStyle name="60% - Accent1" xfId="508" builtinId="32" hidden="1"/>
    <cellStyle name="60% - Accent1" xfId="557" builtinId="32" hidden="1"/>
    <cellStyle name="60% - Accent1" xfId="588" builtinId="32" hidden="1"/>
    <cellStyle name="60% - Accent1" xfId="630" builtinId="32" hidden="1"/>
    <cellStyle name="60% - Accent1" xfId="672" builtinId="32" hidden="1"/>
    <cellStyle name="60% - Accent1" xfId="718" builtinId="32" hidden="1"/>
    <cellStyle name="60% - Accent1" xfId="760" builtinId="32" hidden="1"/>
    <cellStyle name="60% - Accent1" xfId="808" builtinId="32" hidden="1"/>
    <cellStyle name="60% - Accent1" xfId="858" builtinId="32" hidden="1"/>
    <cellStyle name="60% - Accent1" xfId="897" builtinId="32" hidden="1"/>
    <cellStyle name="60% - Accent1" xfId="945" builtinId="32" hidden="1"/>
    <cellStyle name="60% - Accent1" xfId="980" builtinId="32" hidden="1"/>
    <cellStyle name="60% - Accent1" xfId="1029" builtinId="32" hidden="1"/>
    <cellStyle name="60% - Accent1" xfId="1069" builtinId="32" hidden="1"/>
    <cellStyle name="60% - Accent1" xfId="1106" builtinId="32" hidden="1"/>
    <cellStyle name="60% - Accent1" xfId="1146" builtinId="32" hidden="1"/>
    <cellStyle name="60% - Accent1" xfId="1193" builtinId="32" hidden="1"/>
    <cellStyle name="60% - Accent1" xfId="1241" builtinId="32" hidden="1"/>
    <cellStyle name="60% - Accent1" xfId="1280" builtinId="32" hidden="1"/>
    <cellStyle name="60% - Accent1" xfId="1327" builtinId="32" hidden="1"/>
    <cellStyle name="60% - Accent1" xfId="1363" builtinId="32" hidden="1"/>
    <cellStyle name="60% - Accent1" xfId="1412" builtinId="32" hidden="1"/>
    <cellStyle name="60% - Accent1" xfId="1451" builtinId="32" hidden="1"/>
    <cellStyle name="60% - Accent1" xfId="1486" builtinId="32" hidden="1"/>
    <cellStyle name="60% - Accent1" xfId="1524" builtinId="32" hidden="1"/>
    <cellStyle name="60% - Accent1" xfId="1507" builtinId="32" hidden="1"/>
    <cellStyle name="60% - Accent1" xfId="1577" builtinId="32" hidden="1"/>
    <cellStyle name="60% - Accent1" xfId="1617" builtinId="32" hidden="1"/>
    <cellStyle name="60% - Accent1" xfId="1663" builtinId="32" hidden="1"/>
    <cellStyle name="60% - Accent1" xfId="1699" builtinId="32" hidden="1"/>
    <cellStyle name="60% - Accent1" xfId="1748" builtinId="32" hidden="1"/>
    <cellStyle name="60% - Accent1" xfId="1789" builtinId="32" hidden="1"/>
    <cellStyle name="60% - Accent1" xfId="1825" builtinId="32" hidden="1"/>
    <cellStyle name="60% - Accent1" xfId="1865" builtinId="32" hidden="1"/>
    <cellStyle name="60% - Accent1" xfId="1695" builtinId="32" hidden="1"/>
    <cellStyle name="60% - Accent1" xfId="1906" builtinId="32" hidden="1"/>
    <cellStyle name="60% - Accent1" xfId="1943" builtinId="32" hidden="1"/>
    <cellStyle name="60% - Accent1" xfId="1986" builtinId="32" hidden="1"/>
    <cellStyle name="60% - Accent1" xfId="2018" builtinId="32" hidden="1"/>
    <cellStyle name="60% - Accent1" xfId="2063" builtinId="32" hidden="1"/>
    <cellStyle name="60% - Accent1" xfId="2099" builtinId="32" hidden="1"/>
    <cellStyle name="60% - Accent1" xfId="2132" builtinId="32" hidden="1"/>
    <cellStyle name="60% - Accent1" xfId="2168" builtinId="32" hidden="1"/>
    <cellStyle name="60% - Accent1" xfId="1001" builtinId="32" hidden="1"/>
    <cellStyle name="60% - Accent1" xfId="2206" builtinId="32" hidden="1"/>
    <cellStyle name="60% - Accent1" xfId="2240" builtinId="32" hidden="1"/>
    <cellStyle name="60% - Accent1" xfId="2293" builtinId="32" hidden="1"/>
    <cellStyle name="60% - Accent1" xfId="2346" builtinId="32" hidden="1"/>
    <cellStyle name="60% - Accent1" xfId="2396" builtinId="32" hidden="1"/>
    <cellStyle name="60% - Accent1" xfId="2440" builtinId="32" hidden="1"/>
    <cellStyle name="60% - Accent1" xfId="2477" builtinId="32" hidden="1"/>
    <cellStyle name="60% - Accent1" xfId="2517" builtinId="32" hidden="1"/>
    <cellStyle name="60% - Accent1" xfId="2555" builtinId="32" hidden="1"/>
    <cellStyle name="60% - Accent1" xfId="2590" builtinId="32" hidden="1"/>
    <cellStyle name="60% - Accent1" xfId="2643" builtinId="32" hidden="1"/>
    <cellStyle name="60% - Accent1" xfId="2694" builtinId="32" hidden="1"/>
    <cellStyle name="60% - Accent1" xfId="2738" builtinId="32" hidden="1"/>
    <cellStyle name="60% - Accent1" xfId="2774" builtinId="32" hidden="1"/>
    <cellStyle name="60% - Accent1" xfId="2814" builtinId="32" hidden="1"/>
    <cellStyle name="60% - Accent1" xfId="2852" builtinId="32" hidden="1"/>
    <cellStyle name="60% - Accent1" xfId="2613" builtinId="32" hidden="1"/>
    <cellStyle name="60% - Accent1" xfId="2925" builtinId="32" hidden="1"/>
    <cellStyle name="60% - Accent1" xfId="2975" builtinId="32" hidden="1"/>
    <cellStyle name="60% - Accent1" xfId="3019" builtinId="32" hidden="1"/>
    <cellStyle name="60% - Accent1" xfId="3056" builtinId="32" hidden="1"/>
    <cellStyle name="60% - Accent1" xfId="3096" builtinId="32" hidden="1"/>
    <cellStyle name="60% - Accent1" xfId="3134" builtinId="32" hidden="1"/>
    <cellStyle name="60% - Accent1" xfId="3159" builtinId="32" hidden="1"/>
    <cellStyle name="60% - Accent1" xfId="3209" builtinId="32" hidden="1"/>
    <cellStyle name="60% - Accent1" xfId="3258" builtinId="32" hidden="1"/>
    <cellStyle name="60% - Accent1" xfId="3300" builtinId="32" hidden="1"/>
    <cellStyle name="60% - Accent1" xfId="3336" builtinId="32" hidden="1"/>
    <cellStyle name="60% - Accent1" xfId="3376" builtinId="32" hidden="1"/>
    <cellStyle name="60% - Accent1" xfId="3414" builtinId="32" hidden="1"/>
    <cellStyle name="60% - Accent1" xfId="3181" builtinId="32" hidden="1"/>
    <cellStyle name="60% - Accent1" xfId="3473" builtinId="32" hidden="1"/>
    <cellStyle name="60% - Accent1" xfId="3521" builtinId="32" hidden="1"/>
    <cellStyle name="60% - Accent1" xfId="3564" builtinId="32" hidden="1"/>
    <cellStyle name="60% - Accent1" xfId="3601" builtinId="32" hidden="1"/>
    <cellStyle name="60% - Accent1" xfId="3641" builtinId="32" hidden="1"/>
    <cellStyle name="60% - Accent1" xfId="3679" builtinId="32" hidden="1"/>
    <cellStyle name="60% - Accent1" xfId="3722" builtinId="32" hidden="1"/>
    <cellStyle name="60% - Accent1" xfId="3768" builtinId="32" hidden="1"/>
    <cellStyle name="60% - Accent2" xfId="32" builtinId="36" hidden="1"/>
    <cellStyle name="60% - Accent2" xfId="93" builtinId="36" hidden="1"/>
    <cellStyle name="60% - Accent2" xfId="141" builtinId="36" hidden="1"/>
    <cellStyle name="60% - Accent2" xfId="185" builtinId="36" hidden="1"/>
    <cellStyle name="60% - Accent2" xfId="238" builtinId="36" hidden="1"/>
    <cellStyle name="60% - Accent2" xfId="267" builtinId="36" hidden="1"/>
    <cellStyle name="60% - Accent2" xfId="320" builtinId="36" hidden="1"/>
    <cellStyle name="60% - Accent2" xfId="350" builtinId="36" hidden="1"/>
    <cellStyle name="60% - Accent2" xfId="400" builtinId="36" hidden="1"/>
    <cellStyle name="60% - Accent2" xfId="431" builtinId="36" hidden="1"/>
    <cellStyle name="60% - Accent2" xfId="483" builtinId="36" hidden="1"/>
    <cellStyle name="60% - Accent2" xfId="512" builtinId="36" hidden="1"/>
    <cellStyle name="60% - Accent2" xfId="561" builtinId="36" hidden="1"/>
    <cellStyle name="60% - Accent2" xfId="592" builtinId="36" hidden="1"/>
    <cellStyle name="60% - Accent2" xfId="634" builtinId="36" hidden="1"/>
    <cellStyle name="60% - Accent2" xfId="676" builtinId="36" hidden="1"/>
    <cellStyle name="60% - Accent2" xfId="722" builtinId="36" hidden="1"/>
    <cellStyle name="60% - Accent2" xfId="764" builtinId="36" hidden="1"/>
    <cellStyle name="60% - Accent2" xfId="812" builtinId="36" hidden="1"/>
    <cellStyle name="60% - Accent2" xfId="862" builtinId="36" hidden="1"/>
    <cellStyle name="60% - Accent2" xfId="901" builtinId="36" hidden="1"/>
    <cellStyle name="60% - Accent2" xfId="949" builtinId="36" hidden="1"/>
    <cellStyle name="60% - Accent2" xfId="984" builtinId="36" hidden="1"/>
    <cellStyle name="60% - Accent2" xfId="1033" builtinId="36" hidden="1"/>
    <cellStyle name="60% - Accent2" xfId="1073" builtinId="36" hidden="1"/>
    <cellStyle name="60% - Accent2" xfId="1110" builtinId="36" hidden="1"/>
    <cellStyle name="60% - Accent2" xfId="1150" builtinId="36" hidden="1"/>
    <cellStyle name="60% - Accent2" xfId="1197" builtinId="36" hidden="1"/>
    <cellStyle name="60% - Accent2" xfId="1245" builtinId="36" hidden="1"/>
    <cellStyle name="60% - Accent2" xfId="1284" builtinId="36" hidden="1"/>
    <cellStyle name="60% - Accent2" xfId="1331" builtinId="36" hidden="1"/>
    <cellStyle name="60% - Accent2" xfId="1367" builtinId="36" hidden="1"/>
    <cellStyle name="60% - Accent2" xfId="1416" builtinId="36" hidden="1"/>
    <cellStyle name="60% - Accent2" xfId="1455" builtinId="36" hidden="1"/>
    <cellStyle name="60% - Accent2" xfId="1490" builtinId="36" hidden="1"/>
    <cellStyle name="60% - Accent2" xfId="1528" builtinId="36" hidden="1"/>
    <cellStyle name="60% - Accent2" xfId="1438" builtinId="36" hidden="1"/>
    <cellStyle name="60% - Accent2" xfId="1581" builtinId="36" hidden="1"/>
    <cellStyle name="60% - Accent2" xfId="1621" builtinId="36" hidden="1"/>
    <cellStyle name="60% - Accent2" xfId="1667" builtinId="36" hidden="1"/>
    <cellStyle name="60% - Accent2" xfId="1703" builtinId="36" hidden="1"/>
    <cellStyle name="60% - Accent2" xfId="1752" builtinId="36" hidden="1"/>
    <cellStyle name="60% - Accent2" xfId="1793" builtinId="36" hidden="1"/>
    <cellStyle name="60% - Accent2" xfId="1829" builtinId="36" hidden="1"/>
    <cellStyle name="60% - Accent2" xfId="1869" builtinId="36" hidden="1"/>
    <cellStyle name="60% - Accent2" xfId="1553" builtinId="36" hidden="1"/>
    <cellStyle name="60% - Accent2" xfId="1910" builtinId="36" hidden="1"/>
    <cellStyle name="60% - Accent2" xfId="1947" builtinId="36" hidden="1"/>
    <cellStyle name="60% - Accent2" xfId="1990" builtinId="36" hidden="1"/>
    <cellStyle name="60% - Accent2" xfId="2022" builtinId="36" hidden="1"/>
    <cellStyle name="60% - Accent2" xfId="2067" builtinId="36" hidden="1"/>
    <cellStyle name="60% - Accent2" xfId="2103" builtinId="36" hidden="1"/>
    <cellStyle name="60% - Accent2" xfId="2136" builtinId="36" hidden="1"/>
    <cellStyle name="60% - Accent2" xfId="2172" builtinId="36" hidden="1"/>
    <cellStyle name="60% - Accent2" xfId="976" builtinId="36" hidden="1"/>
    <cellStyle name="60% - Accent2" xfId="2210" builtinId="36" hidden="1"/>
    <cellStyle name="60% - Accent2" xfId="2244" builtinId="36" hidden="1"/>
    <cellStyle name="60% - Accent2" xfId="2297" builtinId="36" hidden="1"/>
    <cellStyle name="60% - Accent2" xfId="2350" builtinId="36" hidden="1"/>
    <cellStyle name="60% - Accent2" xfId="2400" builtinId="36" hidden="1"/>
    <cellStyle name="60% - Accent2" xfId="2444" builtinId="36" hidden="1"/>
    <cellStyle name="60% - Accent2" xfId="2481" builtinId="36" hidden="1"/>
    <cellStyle name="60% - Accent2" xfId="2521" builtinId="36" hidden="1"/>
    <cellStyle name="60% - Accent2" xfId="2559" builtinId="36" hidden="1"/>
    <cellStyle name="60% - Accent2" xfId="2594" builtinId="36" hidden="1"/>
    <cellStyle name="60% - Accent2" xfId="2647" builtinId="36" hidden="1"/>
    <cellStyle name="60% - Accent2" xfId="2698" builtinId="36" hidden="1"/>
    <cellStyle name="60% - Accent2" xfId="2742" builtinId="36" hidden="1"/>
    <cellStyle name="60% - Accent2" xfId="2778" builtinId="36" hidden="1"/>
    <cellStyle name="60% - Accent2" xfId="2818" builtinId="36" hidden="1"/>
    <cellStyle name="60% - Accent2" xfId="2856" builtinId="36" hidden="1"/>
    <cellStyle name="60% - Accent2" xfId="2876" builtinId="36" hidden="1"/>
    <cellStyle name="60% - Accent2" xfId="2929" builtinId="36" hidden="1"/>
    <cellStyle name="60% - Accent2" xfId="2979" builtinId="36" hidden="1"/>
    <cellStyle name="60% - Accent2" xfId="3023" builtinId="36" hidden="1"/>
    <cellStyle name="60% - Accent2" xfId="3060" builtinId="36" hidden="1"/>
    <cellStyle name="60% - Accent2" xfId="3100" builtinId="36" hidden="1"/>
    <cellStyle name="60% - Accent2" xfId="3138" builtinId="36" hidden="1"/>
    <cellStyle name="60% - Accent2" xfId="3163" builtinId="36" hidden="1"/>
    <cellStyle name="60% - Accent2" xfId="3213" builtinId="36" hidden="1"/>
    <cellStyle name="60% - Accent2" xfId="3262" builtinId="36" hidden="1"/>
    <cellStyle name="60% - Accent2" xfId="3304" builtinId="36" hidden="1"/>
    <cellStyle name="60% - Accent2" xfId="3340" builtinId="36" hidden="1"/>
    <cellStyle name="60% - Accent2" xfId="3380" builtinId="36" hidden="1"/>
    <cellStyle name="60% - Accent2" xfId="3418" builtinId="36" hidden="1"/>
    <cellStyle name="60% - Accent2" xfId="3437" builtinId="36" hidden="1"/>
    <cellStyle name="60% - Accent2" xfId="3477" builtinId="36" hidden="1"/>
    <cellStyle name="60% - Accent2" xfId="3525" builtinId="36" hidden="1"/>
    <cellStyle name="60% - Accent2" xfId="3568" builtinId="36" hidden="1"/>
    <cellStyle name="60% - Accent2" xfId="3605" builtinId="36" hidden="1"/>
    <cellStyle name="60% - Accent2" xfId="3645" builtinId="36" hidden="1"/>
    <cellStyle name="60% - Accent2" xfId="3683" builtinId="36" hidden="1"/>
    <cellStyle name="60% - Accent2" xfId="3726" builtinId="36" hidden="1"/>
    <cellStyle name="60% - Accent2" xfId="3772" builtinId="36" hidden="1"/>
    <cellStyle name="60% - Accent3" xfId="36" builtinId="40" hidden="1"/>
    <cellStyle name="60% - Accent3" xfId="97" builtinId="40" hidden="1"/>
    <cellStyle name="60% - Accent3" xfId="145" builtinId="40" hidden="1"/>
    <cellStyle name="60% - Accent3" xfId="189" builtinId="40" hidden="1"/>
    <cellStyle name="60% - Accent3" xfId="242" builtinId="40" hidden="1"/>
    <cellStyle name="60% - Accent3" xfId="271" builtinId="40" hidden="1"/>
    <cellStyle name="60% - Accent3" xfId="324" builtinId="40" hidden="1"/>
    <cellStyle name="60% - Accent3" xfId="354" builtinId="40" hidden="1"/>
    <cellStyle name="60% - Accent3" xfId="404" builtinId="40" hidden="1"/>
    <cellStyle name="60% - Accent3" xfId="435" builtinId="40" hidden="1"/>
    <cellStyle name="60% - Accent3" xfId="487" builtinId="40" hidden="1"/>
    <cellStyle name="60% - Accent3" xfId="516" builtinId="40" hidden="1"/>
    <cellStyle name="60% - Accent3" xfId="565" builtinId="40" hidden="1"/>
    <cellStyle name="60% - Accent3" xfId="596" builtinId="40" hidden="1"/>
    <cellStyle name="60% - Accent3" xfId="638" builtinId="40" hidden="1"/>
    <cellStyle name="60% - Accent3" xfId="680" builtinId="40" hidden="1"/>
    <cellStyle name="60% - Accent3" xfId="726" builtinId="40" hidden="1"/>
    <cellStyle name="60% - Accent3" xfId="768" builtinId="40" hidden="1"/>
    <cellStyle name="60% - Accent3" xfId="816" builtinId="40" hidden="1"/>
    <cellStyle name="60% - Accent3" xfId="866" builtinId="40" hidden="1"/>
    <cellStyle name="60% - Accent3" xfId="905" builtinId="40" hidden="1"/>
    <cellStyle name="60% - Accent3" xfId="953" builtinId="40" hidden="1"/>
    <cellStyle name="60% - Accent3" xfId="988" builtinId="40" hidden="1"/>
    <cellStyle name="60% - Accent3" xfId="1037" builtinId="40" hidden="1"/>
    <cellStyle name="60% - Accent3" xfId="1077" builtinId="40" hidden="1"/>
    <cellStyle name="60% - Accent3" xfId="1114" builtinId="40" hidden="1"/>
    <cellStyle name="60% - Accent3" xfId="1154" builtinId="40" hidden="1"/>
    <cellStyle name="60% - Accent3" xfId="1201" builtinId="40" hidden="1"/>
    <cellStyle name="60% - Accent3" xfId="1249" builtinId="40" hidden="1"/>
    <cellStyle name="60% - Accent3" xfId="1288" builtinId="40" hidden="1"/>
    <cellStyle name="60% - Accent3" xfId="1335" builtinId="40" hidden="1"/>
    <cellStyle name="60% - Accent3" xfId="1371" builtinId="40" hidden="1"/>
    <cellStyle name="60% - Accent3" xfId="1420" builtinId="40" hidden="1"/>
    <cellStyle name="60% - Accent3" xfId="1459" builtinId="40" hidden="1"/>
    <cellStyle name="60% - Accent3" xfId="1494" builtinId="40" hidden="1"/>
    <cellStyle name="60% - Accent3" xfId="1532" builtinId="40" hidden="1"/>
    <cellStyle name="60% - Accent3" xfId="1263" builtinId="40" hidden="1"/>
    <cellStyle name="60% - Accent3" xfId="1585" builtinId="40" hidden="1"/>
    <cellStyle name="60% - Accent3" xfId="1625" builtinId="40" hidden="1"/>
    <cellStyle name="60% - Accent3" xfId="1671" builtinId="40" hidden="1"/>
    <cellStyle name="60% - Accent3" xfId="1707" builtinId="40" hidden="1"/>
    <cellStyle name="60% - Accent3" xfId="1756" builtinId="40" hidden="1"/>
    <cellStyle name="60% - Accent3" xfId="1797" builtinId="40" hidden="1"/>
    <cellStyle name="60% - Accent3" xfId="1833" builtinId="40" hidden="1"/>
    <cellStyle name="60% - Accent3" xfId="1873" builtinId="40" hidden="1"/>
    <cellStyle name="60% - Accent3" xfId="1656" builtinId="40" hidden="1"/>
    <cellStyle name="60% - Accent3" xfId="1914" builtinId="40" hidden="1"/>
    <cellStyle name="60% - Accent3" xfId="1951" builtinId="40" hidden="1"/>
    <cellStyle name="60% - Accent3" xfId="1994" builtinId="40" hidden="1"/>
    <cellStyle name="60% - Accent3" xfId="2026" builtinId="40" hidden="1"/>
    <cellStyle name="60% - Accent3" xfId="2071" builtinId="40" hidden="1"/>
    <cellStyle name="60% - Accent3" xfId="2107" builtinId="40" hidden="1"/>
    <cellStyle name="60% - Accent3" xfId="2140" builtinId="40" hidden="1"/>
    <cellStyle name="60% - Accent3" xfId="2176" builtinId="40" hidden="1"/>
    <cellStyle name="60% - Accent3" xfId="1064" builtinId="40" hidden="1"/>
    <cellStyle name="60% - Accent3" xfId="2214" builtinId="40" hidden="1"/>
    <cellStyle name="60% - Accent3" xfId="2248" builtinId="40" hidden="1"/>
    <cellStyle name="60% - Accent3" xfId="2301" builtinId="40" hidden="1"/>
    <cellStyle name="60% - Accent3" xfId="2354" builtinId="40" hidden="1"/>
    <cellStyle name="60% - Accent3" xfId="2404" builtinId="40" hidden="1"/>
    <cellStyle name="60% - Accent3" xfId="2448" builtinId="40" hidden="1"/>
    <cellStyle name="60% - Accent3" xfId="2485" builtinId="40" hidden="1"/>
    <cellStyle name="60% - Accent3" xfId="2525" builtinId="40" hidden="1"/>
    <cellStyle name="60% - Accent3" xfId="2563" builtinId="40" hidden="1"/>
    <cellStyle name="60% - Accent3" xfId="2598" builtinId="40" hidden="1"/>
    <cellStyle name="60% - Accent3" xfId="2651" builtinId="40" hidden="1"/>
    <cellStyle name="60% - Accent3" xfId="2702" builtinId="40" hidden="1"/>
    <cellStyle name="60% - Accent3" xfId="2746" builtinId="40" hidden="1"/>
    <cellStyle name="60% - Accent3" xfId="2782" builtinId="40" hidden="1"/>
    <cellStyle name="60% - Accent3" xfId="2822" builtinId="40" hidden="1"/>
    <cellStyle name="60% - Accent3" xfId="2860" builtinId="40" hidden="1"/>
    <cellStyle name="60% - Accent3" xfId="2880" builtinId="40" hidden="1"/>
    <cellStyle name="60% - Accent3" xfId="2933" builtinId="40" hidden="1"/>
    <cellStyle name="60% - Accent3" xfId="2983" builtinId="40" hidden="1"/>
    <cellStyle name="60% - Accent3" xfId="3027" builtinId="40" hidden="1"/>
    <cellStyle name="60% - Accent3" xfId="3064" builtinId="40" hidden="1"/>
    <cellStyle name="60% - Accent3" xfId="3104" builtinId="40" hidden="1"/>
    <cellStyle name="60% - Accent3" xfId="3142" builtinId="40" hidden="1"/>
    <cellStyle name="60% - Accent3" xfId="3167" builtinId="40" hidden="1"/>
    <cellStyle name="60% - Accent3" xfId="3217" builtinId="40" hidden="1"/>
    <cellStyle name="60% - Accent3" xfId="3266" builtinId="40" hidden="1"/>
    <cellStyle name="60% - Accent3" xfId="3308" builtinId="40" hidden="1"/>
    <cellStyle name="60% - Accent3" xfId="3344" builtinId="40" hidden="1"/>
    <cellStyle name="60% - Accent3" xfId="3384" builtinId="40" hidden="1"/>
    <cellStyle name="60% - Accent3" xfId="3422" builtinId="40" hidden="1"/>
    <cellStyle name="60% - Accent3" xfId="3441" builtinId="40" hidden="1"/>
    <cellStyle name="60% - Accent3" xfId="3481" builtinId="40" hidden="1"/>
    <cellStyle name="60% - Accent3" xfId="3529" builtinId="40" hidden="1"/>
    <cellStyle name="60% - Accent3" xfId="3572" builtinId="40" hidden="1"/>
    <cellStyle name="60% - Accent3" xfId="3609" builtinId="40" hidden="1"/>
    <cellStyle name="60% - Accent3" xfId="3649" builtinId="40" hidden="1"/>
    <cellStyle name="60% - Accent3" xfId="3687" builtinId="40" hidden="1"/>
    <cellStyle name="60% - Accent3" xfId="3730" builtinId="40" hidden="1"/>
    <cellStyle name="60% - Accent3" xfId="3776" builtinId="40" hidden="1"/>
    <cellStyle name="60% - Accent4" xfId="40" builtinId="44" hidden="1"/>
    <cellStyle name="60% - Accent4" xfId="101" builtinId="44" hidden="1"/>
    <cellStyle name="60% - Accent4" xfId="149" builtinId="44" hidden="1"/>
    <cellStyle name="60% - Accent4" xfId="193" builtinId="44" hidden="1"/>
    <cellStyle name="60% - Accent4" xfId="246" builtinId="44" hidden="1"/>
    <cellStyle name="60% - Accent4" xfId="275" builtinId="44" hidden="1"/>
    <cellStyle name="60% - Accent4" xfId="328" builtinId="44" hidden="1"/>
    <cellStyle name="60% - Accent4" xfId="358" builtinId="44" hidden="1"/>
    <cellStyle name="60% - Accent4" xfId="408" builtinId="44" hidden="1"/>
    <cellStyle name="60% - Accent4" xfId="439" builtinId="44" hidden="1"/>
    <cellStyle name="60% - Accent4" xfId="491" builtinId="44" hidden="1"/>
    <cellStyle name="60% - Accent4" xfId="520" builtinId="44" hidden="1"/>
    <cellStyle name="60% - Accent4" xfId="569" builtinId="44" hidden="1"/>
    <cellStyle name="60% - Accent4" xfId="600" builtinId="44" hidden="1"/>
    <cellStyle name="60% - Accent4" xfId="642" builtinId="44" hidden="1"/>
    <cellStyle name="60% - Accent4" xfId="684" builtinId="44" hidden="1"/>
    <cellStyle name="60% - Accent4" xfId="730" builtinId="44" hidden="1"/>
    <cellStyle name="60% - Accent4" xfId="772" builtinId="44" hidden="1"/>
    <cellStyle name="60% - Accent4" xfId="820" builtinId="44" hidden="1"/>
    <cellStyle name="60% - Accent4" xfId="870" builtinId="44" hidden="1"/>
    <cellStyle name="60% - Accent4" xfId="909" builtinId="44" hidden="1"/>
    <cellStyle name="60% - Accent4" xfId="957" builtinId="44" hidden="1"/>
    <cellStyle name="60% - Accent4" xfId="992" builtinId="44" hidden="1"/>
    <cellStyle name="60% - Accent4" xfId="1041" builtinId="44" hidden="1"/>
    <cellStyle name="60% - Accent4" xfId="1081" builtinId="44" hidden="1"/>
    <cellStyle name="60% - Accent4" xfId="1118" builtinId="44" hidden="1"/>
    <cellStyle name="60% - Accent4" xfId="1158" builtinId="44" hidden="1"/>
    <cellStyle name="60% - Accent4" xfId="1205" builtinId="44" hidden="1"/>
    <cellStyle name="60% - Accent4" xfId="1253" builtinId="44" hidden="1"/>
    <cellStyle name="60% - Accent4" xfId="1292" builtinId="44" hidden="1"/>
    <cellStyle name="60% - Accent4" xfId="1339" builtinId="44" hidden="1"/>
    <cellStyle name="60% - Accent4" xfId="1375" builtinId="44" hidden="1"/>
    <cellStyle name="60% - Accent4" xfId="1424" builtinId="44" hidden="1"/>
    <cellStyle name="60% - Accent4" xfId="1463" builtinId="44" hidden="1"/>
    <cellStyle name="60% - Accent4" xfId="1498" builtinId="44" hidden="1"/>
    <cellStyle name="60% - Accent4" xfId="1536" builtinId="44" hidden="1"/>
    <cellStyle name="60% - Accent4" xfId="1262" builtinId="44" hidden="1"/>
    <cellStyle name="60% - Accent4" xfId="1589" builtinId="44" hidden="1"/>
    <cellStyle name="60% - Accent4" xfId="1629" builtinId="44" hidden="1"/>
    <cellStyle name="60% - Accent4" xfId="1675" builtinId="44" hidden="1"/>
    <cellStyle name="60% - Accent4" xfId="1711" builtinId="44" hidden="1"/>
    <cellStyle name="60% - Accent4" xfId="1760" builtinId="44" hidden="1"/>
    <cellStyle name="60% - Accent4" xfId="1801" builtinId="44" hidden="1"/>
    <cellStyle name="60% - Accent4" xfId="1837" builtinId="44" hidden="1"/>
    <cellStyle name="60% - Accent4" xfId="1877" builtinId="44" hidden="1"/>
    <cellStyle name="60% - Accent4" xfId="1552" builtinId="44" hidden="1"/>
    <cellStyle name="60% - Accent4" xfId="1918" builtinId="44" hidden="1"/>
    <cellStyle name="60% - Accent4" xfId="1955" builtinId="44" hidden="1"/>
    <cellStyle name="60% - Accent4" xfId="1998" builtinId="44" hidden="1"/>
    <cellStyle name="60% - Accent4" xfId="2030" builtinId="44" hidden="1"/>
    <cellStyle name="60% - Accent4" xfId="2075" builtinId="44" hidden="1"/>
    <cellStyle name="60% - Accent4" xfId="2111" builtinId="44" hidden="1"/>
    <cellStyle name="60% - Accent4" xfId="2144" builtinId="44" hidden="1"/>
    <cellStyle name="60% - Accent4" xfId="2180" builtinId="44" hidden="1"/>
    <cellStyle name="60% - Accent4" xfId="835" builtinId="44" hidden="1"/>
    <cellStyle name="60% - Accent4" xfId="2218" builtinId="44" hidden="1"/>
    <cellStyle name="60% - Accent4" xfId="2252" builtinId="44" hidden="1"/>
    <cellStyle name="60% - Accent4" xfId="2305" builtinId="44" hidden="1"/>
    <cellStyle name="60% - Accent4" xfId="2358" builtinId="44" hidden="1"/>
    <cellStyle name="60% - Accent4" xfId="2408" builtinId="44" hidden="1"/>
    <cellStyle name="60% - Accent4" xfId="2452" builtinId="44" hidden="1"/>
    <cellStyle name="60% - Accent4" xfId="2489" builtinId="44" hidden="1"/>
    <cellStyle name="60% - Accent4" xfId="2529" builtinId="44" hidden="1"/>
    <cellStyle name="60% - Accent4" xfId="2567" builtinId="44" hidden="1"/>
    <cellStyle name="60% - Accent4" xfId="2602" builtinId="44" hidden="1"/>
    <cellStyle name="60% - Accent4" xfId="2655" builtinId="44" hidden="1"/>
    <cellStyle name="60% - Accent4" xfId="2706" builtinId="44" hidden="1"/>
    <cellStyle name="60% - Accent4" xfId="2750" builtinId="44" hidden="1"/>
    <cellStyle name="60% - Accent4" xfId="2786" builtinId="44" hidden="1"/>
    <cellStyle name="60% - Accent4" xfId="2826" builtinId="44" hidden="1"/>
    <cellStyle name="60% - Accent4" xfId="2864" builtinId="44" hidden="1"/>
    <cellStyle name="60% - Accent4" xfId="2884" builtinId="44" hidden="1"/>
    <cellStyle name="60% - Accent4" xfId="2937" builtinId="44" hidden="1"/>
    <cellStyle name="60% - Accent4" xfId="2987" builtinId="44" hidden="1"/>
    <cellStyle name="60% - Accent4" xfId="3031" builtinId="44" hidden="1"/>
    <cellStyle name="60% - Accent4" xfId="3068" builtinId="44" hidden="1"/>
    <cellStyle name="60% - Accent4" xfId="3108" builtinId="44" hidden="1"/>
    <cellStyle name="60% - Accent4" xfId="3146" builtinId="44" hidden="1"/>
    <cellStyle name="60% - Accent4" xfId="3171" builtinId="44" hidden="1"/>
    <cellStyle name="60% - Accent4" xfId="3221" builtinId="44" hidden="1"/>
    <cellStyle name="60% - Accent4" xfId="3270" builtinId="44" hidden="1"/>
    <cellStyle name="60% - Accent4" xfId="3312" builtinId="44" hidden="1"/>
    <cellStyle name="60% - Accent4" xfId="3348" builtinId="44" hidden="1"/>
    <cellStyle name="60% - Accent4" xfId="3388" builtinId="44" hidden="1"/>
    <cellStyle name="60% - Accent4" xfId="3426" builtinId="44" hidden="1"/>
    <cellStyle name="60% - Accent4" xfId="3445" builtinId="44" hidden="1"/>
    <cellStyle name="60% - Accent4" xfId="3485" builtinId="44" hidden="1"/>
    <cellStyle name="60% - Accent4" xfId="3533" builtinId="44" hidden="1"/>
    <cellStyle name="60% - Accent4" xfId="3576" builtinId="44" hidden="1"/>
    <cellStyle name="60% - Accent4" xfId="3613" builtinId="44" hidden="1"/>
    <cellStyle name="60% - Accent4" xfId="3653" builtinId="44" hidden="1"/>
    <cellStyle name="60% - Accent4" xfId="3691" builtinId="44" hidden="1"/>
    <cellStyle name="60% - Accent4" xfId="3734" builtinId="44" hidden="1"/>
    <cellStyle name="60% - Accent4" xfId="3780" builtinId="44" hidden="1"/>
    <cellStyle name="60% - Accent5" xfId="44" builtinId="48" hidden="1"/>
    <cellStyle name="60% - Accent5" xfId="105" builtinId="48" hidden="1"/>
    <cellStyle name="60% - Accent5" xfId="153" builtinId="48" hidden="1"/>
    <cellStyle name="60% - Accent5" xfId="197" builtinId="48" hidden="1"/>
    <cellStyle name="60% - Accent5" xfId="250" builtinId="48" hidden="1"/>
    <cellStyle name="60% - Accent5" xfId="279" builtinId="48" hidden="1"/>
    <cellStyle name="60% - Accent5" xfId="332" builtinId="48" hidden="1"/>
    <cellStyle name="60% - Accent5" xfId="362" builtinId="48" hidden="1"/>
    <cellStyle name="60% - Accent5" xfId="412" builtinId="48" hidden="1"/>
    <cellStyle name="60% - Accent5" xfId="443" builtinId="48" hidden="1"/>
    <cellStyle name="60% - Accent5" xfId="495" builtinId="48" hidden="1"/>
    <cellStyle name="60% - Accent5" xfId="524" builtinId="48" hidden="1"/>
    <cellStyle name="60% - Accent5" xfId="573" builtinId="48" hidden="1"/>
    <cellStyle name="60% - Accent5" xfId="604" builtinId="48" hidden="1"/>
    <cellStyle name="60% - Accent5" xfId="646" builtinId="48" hidden="1"/>
    <cellStyle name="60% - Accent5" xfId="688" builtinId="48" hidden="1"/>
    <cellStyle name="60% - Accent5" xfId="734" builtinId="48" hidden="1"/>
    <cellStyle name="60% - Accent5" xfId="776" builtinId="48" hidden="1"/>
    <cellStyle name="60% - Accent5" xfId="824" builtinId="48" hidden="1"/>
    <cellStyle name="60% - Accent5" xfId="874" builtinId="48" hidden="1"/>
    <cellStyle name="60% - Accent5" xfId="913" builtinId="48" hidden="1"/>
    <cellStyle name="60% - Accent5" xfId="961" builtinId="48" hidden="1"/>
    <cellStyle name="60% - Accent5" xfId="996" builtinId="48" hidden="1"/>
    <cellStyle name="60% - Accent5" xfId="1045" builtinId="48" hidden="1"/>
    <cellStyle name="60% - Accent5" xfId="1085" builtinId="48" hidden="1"/>
    <cellStyle name="60% - Accent5" xfId="1122" builtinId="48" hidden="1"/>
    <cellStyle name="60% - Accent5" xfId="1162" builtinId="48" hidden="1"/>
    <cellStyle name="60% - Accent5" xfId="1209" builtinId="48" hidden="1"/>
    <cellStyle name="60% - Accent5" xfId="1257" builtinId="48" hidden="1"/>
    <cellStyle name="60% - Accent5" xfId="1296" builtinId="48" hidden="1"/>
    <cellStyle name="60% - Accent5" xfId="1343" builtinId="48" hidden="1"/>
    <cellStyle name="60% - Accent5" xfId="1379" builtinId="48" hidden="1"/>
    <cellStyle name="60% - Accent5" xfId="1428" builtinId="48" hidden="1"/>
    <cellStyle name="60% - Accent5" xfId="1467" builtinId="48" hidden="1"/>
    <cellStyle name="60% - Accent5" xfId="1502" builtinId="48" hidden="1"/>
    <cellStyle name="60% - Accent5" xfId="1540" builtinId="48" hidden="1"/>
    <cellStyle name="60% - Accent5" xfId="1172" builtinId="48" hidden="1"/>
    <cellStyle name="60% - Accent5" xfId="1593" builtinId="48" hidden="1"/>
    <cellStyle name="60% - Accent5" xfId="1633" builtinId="48" hidden="1"/>
    <cellStyle name="60% - Accent5" xfId="1679" builtinId="48" hidden="1"/>
    <cellStyle name="60% - Accent5" xfId="1715" builtinId="48" hidden="1"/>
    <cellStyle name="60% - Accent5" xfId="1764" builtinId="48" hidden="1"/>
    <cellStyle name="60% - Accent5" xfId="1805" builtinId="48" hidden="1"/>
    <cellStyle name="60% - Accent5" xfId="1841" builtinId="48" hidden="1"/>
    <cellStyle name="60% - Accent5" xfId="1881" builtinId="48" hidden="1"/>
    <cellStyle name="60% - Accent5" xfId="1781" builtinId="48" hidden="1"/>
    <cellStyle name="60% - Accent5" xfId="1922" builtinId="48" hidden="1"/>
    <cellStyle name="60% - Accent5" xfId="1959" builtinId="48" hidden="1"/>
    <cellStyle name="60% - Accent5" xfId="2002" builtinId="48" hidden="1"/>
    <cellStyle name="60% - Accent5" xfId="2034" builtinId="48" hidden="1"/>
    <cellStyle name="60% - Accent5" xfId="2079" builtinId="48" hidden="1"/>
    <cellStyle name="60% - Accent5" xfId="2115" builtinId="48" hidden="1"/>
    <cellStyle name="60% - Accent5" xfId="2148" builtinId="48" hidden="1"/>
    <cellStyle name="60% - Accent5" xfId="2184" builtinId="48" hidden="1"/>
    <cellStyle name="60% - Accent5" xfId="1385" builtinId="48" hidden="1"/>
    <cellStyle name="60% - Accent5" xfId="2222" builtinId="48" hidden="1"/>
    <cellStyle name="60% - Accent5" xfId="2256" builtinId="48" hidden="1"/>
    <cellStyle name="60% - Accent5" xfId="2309" builtinId="48" hidden="1"/>
    <cellStyle name="60% - Accent5" xfId="2362" builtinId="48" hidden="1"/>
    <cellStyle name="60% - Accent5" xfId="2412" builtinId="48" hidden="1"/>
    <cellStyle name="60% - Accent5" xfId="2456" builtinId="48" hidden="1"/>
    <cellStyle name="60% - Accent5" xfId="2493" builtinId="48" hidden="1"/>
    <cellStyle name="60% - Accent5" xfId="2533" builtinId="48" hidden="1"/>
    <cellStyle name="60% - Accent5" xfId="2571" builtinId="48" hidden="1"/>
    <cellStyle name="60% - Accent5" xfId="2606" builtinId="48" hidden="1"/>
    <cellStyle name="60% - Accent5" xfId="2659" builtinId="48" hidden="1"/>
    <cellStyle name="60% - Accent5" xfId="2710" builtinId="48" hidden="1"/>
    <cellStyle name="60% - Accent5" xfId="2754" builtinId="48" hidden="1"/>
    <cellStyle name="60% - Accent5" xfId="2790" builtinId="48" hidden="1"/>
    <cellStyle name="60% - Accent5" xfId="2830" builtinId="48" hidden="1"/>
    <cellStyle name="60% - Accent5" xfId="2868" builtinId="48" hidden="1"/>
    <cellStyle name="60% - Accent5" xfId="2888" builtinId="48" hidden="1"/>
    <cellStyle name="60% - Accent5" xfId="2941" builtinId="48" hidden="1"/>
    <cellStyle name="60% - Accent5" xfId="2991" builtinId="48" hidden="1"/>
    <cellStyle name="60% - Accent5" xfId="3035" builtinId="48" hidden="1"/>
    <cellStyle name="60% - Accent5" xfId="3072" builtinId="48" hidden="1"/>
    <cellStyle name="60% - Accent5" xfId="3112" builtinId="48" hidden="1"/>
    <cellStyle name="60% - Accent5" xfId="3150" builtinId="48" hidden="1"/>
    <cellStyle name="60% - Accent5" xfId="3175" builtinId="48" hidden="1"/>
    <cellStyle name="60% - Accent5" xfId="3225" builtinId="48" hidden="1"/>
    <cellStyle name="60% - Accent5" xfId="3274" builtinId="48" hidden="1"/>
    <cellStyle name="60% - Accent5" xfId="3316" builtinId="48" hidden="1"/>
    <cellStyle name="60% - Accent5" xfId="3352" builtinId="48" hidden="1"/>
    <cellStyle name="60% - Accent5" xfId="3392" builtinId="48" hidden="1"/>
    <cellStyle name="60% - Accent5" xfId="3430" builtinId="48" hidden="1"/>
    <cellStyle name="60% - Accent5" xfId="3449" builtinId="48" hidden="1"/>
    <cellStyle name="60% - Accent5" xfId="3489" builtinId="48" hidden="1"/>
    <cellStyle name="60% - Accent5" xfId="3537" builtinId="48" hidden="1"/>
    <cellStyle name="60% - Accent5" xfId="3580" builtinId="48" hidden="1"/>
    <cellStyle name="60% - Accent5" xfId="3617" builtinId="48" hidden="1"/>
    <cellStyle name="60% - Accent5" xfId="3657" builtinId="48" hidden="1"/>
    <cellStyle name="60% - Accent5" xfId="3695" builtinId="48" hidden="1"/>
    <cellStyle name="60% - Accent5" xfId="3738" builtinId="48" hidden="1"/>
    <cellStyle name="60% - Accent5" xfId="3784" builtinId="48" hidden="1"/>
    <cellStyle name="60% - Accent6" xfId="48" builtinId="52" hidden="1"/>
    <cellStyle name="60% - Accent6" xfId="109" builtinId="52" hidden="1"/>
    <cellStyle name="60% - Accent6" xfId="157" builtinId="52" hidden="1"/>
    <cellStyle name="60% - Accent6" xfId="201" builtinId="52" hidden="1"/>
    <cellStyle name="60% - Accent6" xfId="254" builtinId="52" hidden="1"/>
    <cellStyle name="60% - Accent6" xfId="283" builtinId="52" hidden="1"/>
    <cellStyle name="60% - Accent6" xfId="336" builtinId="52" hidden="1"/>
    <cellStyle name="60% - Accent6" xfId="366" builtinId="52" hidden="1"/>
    <cellStyle name="60% - Accent6" xfId="416" builtinId="52" hidden="1"/>
    <cellStyle name="60% - Accent6" xfId="447" builtinId="52" hidden="1"/>
    <cellStyle name="60% - Accent6" xfId="499" builtinId="52" hidden="1"/>
    <cellStyle name="60% - Accent6" xfId="528" builtinId="52" hidden="1"/>
    <cellStyle name="60% - Accent6" xfId="577" builtinId="52" hidden="1"/>
    <cellStyle name="60% - Accent6" xfId="608" builtinId="52" hidden="1"/>
    <cellStyle name="60% - Accent6" xfId="650" builtinId="52" hidden="1"/>
    <cellStyle name="60% - Accent6" xfId="692" builtinId="52" hidden="1"/>
    <cellStyle name="60% - Accent6" xfId="738" builtinId="52" hidden="1"/>
    <cellStyle name="60% - Accent6" xfId="780" builtinId="52" hidden="1"/>
    <cellStyle name="60% - Accent6" xfId="828" builtinId="52" hidden="1"/>
    <cellStyle name="60% - Accent6" xfId="878" builtinId="52" hidden="1"/>
    <cellStyle name="60% - Accent6" xfId="917" builtinId="52" hidden="1"/>
    <cellStyle name="60% - Accent6" xfId="965" builtinId="52" hidden="1"/>
    <cellStyle name="60% - Accent6" xfId="1000" builtinId="52" hidden="1"/>
    <cellStyle name="60% - Accent6" xfId="1049" builtinId="52" hidden="1"/>
    <cellStyle name="60% - Accent6" xfId="1089" builtinId="52" hidden="1"/>
    <cellStyle name="60% - Accent6" xfId="1126" builtinId="52" hidden="1"/>
    <cellStyle name="60% - Accent6" xfId="1166" builtinId="52" hidden="1"/>
    <cellStyle name="60% - Accent6" xfId="1213" builtinId="52" hidden="1"/>
    <cellStyle name="60% - Accent6" xfId="1261" builtinId="52" hidden="1"/>
    <cellStyle name="60% - Accent6" xfId="1300" builtinId="52" hidden="1"/>
    <cellStyle name="60% - Accent6" xfId="1347" builtinId="52" hidden="1"/>
    <cellStyle name="60% - Accent6" xfId="1383" builtinId="52" hidden="1"/>
    <cellStyle name="60% - Accent6" xfId="1432" builtinId="52" hidden="1"/>
    <cellStyle name="60% - Accent6" xfId="1471" builtinId="52" hidden="1"/>
    <cellStyle name="60% - Accent6" xfId="1506" builtinId="52" hidden="1"/>
    <cellStyle name="60% - Accent6" xfId="1544" builtinId="52" hidden="1"/>
    <cellStyle name="60% - Accent6" xfId="1548" builtinId="52" hidden="1"/>
    <cellStyle name="60% - Accent6" xfId="1597" builtinId="52" hidden="1"/>
    <cellStyle name="60% - Accent6" xfId="1637" builtinId="52" hidden="1"/>
    <cellStyle name="60% - Accent6" xfId="1683" builtinId="52" hidden="1"/>
    <cellStyle name="60% - Accent6" xfId="1719" builtinId="52" hidden="1"/>
    <cellStyle name="60% - Accent6" xfId="1768" builtinId="52" hidden="1"/>
    <cellStyle name="60% - Accent6" xfId="1809" builtinId="52" hidden="1"/>
    <cellStyle name="60% - Accent6" xfId="1845" builtinId="52" hidden="1"/>
    <cellStyle name="60% - Accent6" xfId="1885" builtinId="52" hidden="1"/>
    <cellStyle name="60% - Accent6" xfId="1741" builtinId="52" hidden="1"/>
    <cellStyle name="60% - Accent6" xfId="1926" builtinId="52" hidden="1"/>
    <cellStyle name="60% - Accent6" xfId="1963" builtinId="52" hidden="1"/>
    <cellStyle name="60% - Accent6" xfId="2006" builtinId="52" hidden="1"/>
    <cellStyle name="60% - Accent6" xfId="2038" builtinId="52" hidden="1"/>
    <cellStyle name="60% - Accent6" xfId="2083" builtinId="52" hidden="1"/>
    <cellStyle name="60% - Accent6" xfId="2119" builtinId="52" hidden="1"/>
    <cellStyle name="60% - Accent6" xfId="2152" builtinId="52" hidden="1"/>
    <cellStyle name="60% - Accent6" xfId="2188" builtinId="52" hidden="1"/>
    <cellStyle name="60% - Accent6" xfId="853" builtinId="52" hidden="1"/>
    <cellStyle name="60% - Accent6" xfId="2226" builtinId="52" hidden="1"/>
    <cellStyle name="60% - Accent6" xfId="2260" builtinId="52" hidden="1"/>
    <cellStyle name="60% - Accent6" xfId="2313" builtinId="52" hidden="1"/>
    <cellStyle name="60% - Accent6" xfId="2366" builtinId="52" hidden="1"/>
    <cellStyle name="60% - Accent6" xfId="2416" builtinId="52" hidden="1"/>
    <cellStyle name="60% - Accent6" xfId="2460" builtinId="52" hidden="1"/>
    <cellStyle name="60% - Accent6" xfId="2497" builtinId="52" hidden="1"/>
    <cellStyle name="60% - Accent6" xfId="2537" builtinId="52" hidden="1"/>
    <cellStyle name="60% - Accent6" xfId="2575" builtinId="52" hidden="1"/>
    <cellStyle name="60% - Accent6" xfId="2610" builtinId="52" hidden="1"/>
    <cellStyle name="60% - Accent6" xfId="2663" builtinId="52" hidden="1"/>
    <cellStyle name="60% - Accent6" xfId="2714" builtinId="52" hidden="1"/>
    <cellStyle name="60% - Accent6" xfId="2758" builtinId="52" hidden="1"/>
    <cellStyle name="60% - Accent6" xfId="2794" builtinId="52" hidden="1"/>
    <cellStyle name="60% - Accent6" xfId="2834" builtinId="52" hidden="1"/>
    <cellStyle name="60% - Accent6" xfId="2872" builtinId="52" hidden="1"/>
    <cellStyle name="60% - Accent6" xfId="2892" builtinId="52" hidden="1"/>
    <cellStyle name="60% - Accent6" xfId="2945" builtinId="52" hidden="1"/>
    <cellStyle name="60% - Accent6" xfId="2995" builtinId="52" hidden="1"/>
    <cellStyle name="60% - Accent6" xfId="3039" builtinId="52" hidden="1"/>
    <cellStyle name="60% - Accent6" xfId="3076" builtinId="52" hidden="1"/>
    <cellStyle name="60% - Accent6" xfId="3116" builtinId="52" hidden="1"/>
    <cellStyle name="60% - Accent6" xfId="3154" builtinId="52" hidden="1"/>
    <cellStyle name="60% - Accent6" xfId="3179" builtinId="52" hidden="1"/>
    <cellStyle name="60% - Accent6" xfId="3229" builtinId="52" hidden="1"/>
    <cellStyle name="60% - Accent6" xfId="3278" builtinId="52" hidden="1"/>
    <cellStyle name="60% - Accent6" xfId="3320" builtinId="52" hidden="1"/>
    <cellStyle name="60% - Accent6" xfId="3356" builtinId="52" hidden="1"/>
    <cellStyle name="60% - Accent6" xfId="3396" builtinId="52" hidden="1"/>
    <cellStyle name="60% - Accent6" xfId="3434" builtinId="52" hidden="1"/>
    <cellStyle name="60% - Accent6" xfId="3453" builtinId="52" hidden="1"/>
    <cellStyle name="60% - Accent6" xfId="3493" builtinId="52" hidden="1"/>
    <cellStyle name="60% - Accent6" xfId="3541" builtinId="52" hidden="1"/>
    <cellStyle name="60% - Accent6" xfId="3584" builtinId="52" hidden="1"/>
    <cellStyle name="60% - Accent6" xfId="3621" builtinId="52" hidden="1"/>
    <cellStyle name="60% - Accent6" xfId="3661" builtinId="52" hidden="1"/>
    <cellStyle name="60% - Accent6" xfId="3699" builtinId="52" hidden="1"/>
    <cellStyle name="60% - Accent6" xfId="3742" builtinId="52" hidden="1"/>
    <cellStyle name="60% - Accent6" xfId="3788" builtinId="52" hidden="1"/>
    <cellStyle name="Accent1" xfId="25" builtinId="29" hidden="1"/>
    <cellStyle name="Accent1" xfId="86" builtinId="29" hidden="1"/>
    <cellStyle name="Accent1" xfId="134" builtinId="29" hidden="1"/>
    <cellStyle name="Accent1" xfId="178" builtinId="29" hidden="1"/>
    <cellStyle name="Accent1" xfId="231" builtinId="29" hidden="1"/>
    <cellStyle name="Accent1" xfId="260" builtinId="29" hidden="1"/>
    <cellStyle name="Accent1" xfId="313" builtinId="29" hidden="1"/>
    <cellStyle name="Accent1" xfId="343" builtinId="29" hidden="1"/>
    <cellStyle name="Accent1" xfId="393" builtinId="29" hidden="1"/>
    <cellStyle name="Accent1" xfId="424" builtinId="29" hidden="1"/>
    <cellStyle name="Accent1" xfId="476" builtinId="29" hidden="1"/>
    <cellStyle name="Accent1" xfId="505" builtinId="29" hidden="1"/>
    <cellStyle name="Accent1" xfId="554" builtinId="29" hidden="1"/>
    <cellStyle name="Accent1" xfId="585" builtinId="29" hidden="1"/>
    <cellStyle name="Accent1" xfId="627" builtinId="29" hidden="1"/>
    <cellStyle name="Accent1" xfId="669" builtinId="29" hidden="1"/>
    <cellStyle name="Accent1" xfId="715" builtinId="29" hidden="1"/>
    <cellStyle name="Accent1" xfId="757" builtinId="29" hidden="1"/>
    <cellStyle name="Accent1" xfId="805" builtinId="29" hidden="1"/>
    <cellStyle name="Accent1" xfId="855" builtinId="29" hidden="1"/>
    <cellStyle name="Accent1" xfId="894" builtinId="29" hidden="1"/>
    <cellStyle name="Accent1" xfId="942" builtinId="29" hidden="1"/>
    <cellStyle name="Accent1" xfId="977" builtinId="29" hidden="1"/>
    <cellStyle name="Accent1" xfId="1026" builtinId="29" hidden="1"/>
    <cellStyle name="Accent1" xfId="1066" builtinId="29" hidden="1"/>
    <cellStyle name="Accent1" xfId="1103" builtinId="29" hidden="1"/>
    <cellStyle name="Accent1" xfId="1143" builtinId="29" hidden="1"/>
    <cellStyle name="Accent1" xfId="1190" builtinId="29" hidden="1"/>
    <cellStyle name="Accent1" xfId="1238" builtinId="29" hidden="1"/>
    <cellStyle name="Accent1" xfId="1277" builtinId="29" hidden="1"/>
    <cellStyle name="Accent1" xfId="1324" builtinId="29" hidden="1"/>
    <cellStyle name="Accent1" xfId="1360" builtinId="29" hidden="1"/>
    <cellStyle name="Accent1" xfId="1409" builtinId="29" hidden="1"/>
    <cellStyle name="Accent1" xfId="1448" builtinId="29" hidden="1"/>
    <cellStyle name="Accent1" xfId="1483" builtinId="29" hidden="1"/>
    <cellStyle name="Accent1" xfId="1521" builtinId="29" hidden="1"/>
    <cellStyle name="Accent1" xfId="1218" builtinId="29" hidden="1"/>
    <cellStyle name="Accent1" xfId="1574" builtinId="29" hidden="1"/>
    <cellStyle name="Accent1" xfId="1614" builtinId="29" hidden="1"/>
    <cellStyle name="Accent1" xfId="1660" builtinId="29" hidden="1"/>
    <cellStyle name="Accent1" xfId="1696" builtinId="29" hidden="1"/>
    <cellStyle name="Accent1" xfId="1745" builtinId="29" hidden="1"/>
    <cellStyle name="Accent1" xfId="1786" builtinId="29" hidden="1"/>
    <cellStyle name="Accent1" xfId="1822" builtinId="29" hidden="1"/>
    <cellStyle name="Accent1" xfId="1862" builtinId="29" hidden="1"/>
    <cellStyle name="Accent1" xfId="1778" builtinId="29" hidden="1"/>
    <cellStyle name="Accent1" xfId="1903" builtinId="29" hidden="1"/>
    <cellStyle name="Accent1" xfId="1940" builtinId="29" hidden="1"/>
    <cellStyle name="Accent1" xfId="1983" builtinId="29" hidden="1"/>
    <cellStyle name="Accent1" xfId="2015" builtinId="29" hidden="1"/>
    <cellStyle name="Accent1" xfId="2060" builtinId="29" hidden="1"/>
    <cellStyle name="Accent1" xfId="2096" builtinId="29" hidden="1"/>
    <cellStyle name="Accent1" xfId="2129" builtinId="29" hidden="1"/>
    <cellStyle name="Accent1" xfId="2165" builtinId="29" hidden="1"/>
    <cellStyle name="Accent1" xfId="938" builtinId="29" hidden="1"/>
    <cellStyle name="Accent1" xfId="2203" builtinId="29" hidden="1"/>
    <cellStyle name="Accent1" xfId="2237" builtinId="29" hidden="1"/>
    <cellStyle name="Accent1" xfId="2290" builtinId="29" hidden="1"/>
    <cellStyle name="Accent1" xfId="2343" builtinId="29" hidden="1"/>
    <cellStyle name="Accent1" xfId="2393" builtinId="29" hidden="1"/>
    <cellStyle name="Accent1" xfId="2437" builtinId="29" hidden="1"/>
    <cellStyle name="Accent1" xfId="2474" builtinId="29" hidden="1"/>
    <cellStyle name="Accent1" xfId="2514" builtinId="29" hidden="1"/>
    <cellStyle name="Accent1" xfId="2552" builtinId="29" hidden="1"/>
    <cellStyle name="Accent1" xfId="2587" builtinId="29" hidden="1"/>
    <cellStyle name="Accent1" xfId="2640" builtinId="29" hidden="1"/>
    <cellStyle name="Accent1" xfId="2691" builtinId="29" hidden="1"/>
    <cellStyle name="Accent1" xfId="2735" builtinId="29" hidden="1"/>
    <cellStyle name="Accent1" xfId="2771" builtinId="29" hidden="1"/>
    <cellStyle name="Accent1" xfId="2811" builtinId="29" hidden="1"/>
    <cellStyle name="Accent1" xfId="2849" builtinId="29" hidden="1"/>
    <cellStyle name="Accent1" xfId="2664" builtinId="29" hidden="1"/>
    <cellStyle name="Accent1" xfId="2922" builtinId="29" hidden="1"/>
    <cellStyle name="Accent1" xfId="2972" builtinId="29" hidden="1"/>
    <cellStyle name="Accent1" xfId="3016" builtinId="29" hidden="1"/>
    <cellStyle name="Accent1" xfId="3053" builtinId="29" hidden="1"/>
    <cellStyle name="Accent1" xfId="3093" builtinId="29" hidden="1"/>
    <cellStyle name="Accent1" xfId="3131" builtinId="29" hidden="1"/>
    <cellStyle name="Accent1" xfId="2730" builtinId="29" hidden="1"/>
    <cellStyle name="Accent1" xfId="3206" builtinId="29" hidden="1"/>
    <cellStyle name="Accent1" xfId="3255" builtinId="29" hidden="1"/>
    <cellStyle name="Accent1" xfId="3297" builtinId="29" hidden="1"/>
    <cellStyle name="Accent1" xfId="3333" builtinId="29" hidden="1"/>
    <cellStyle name="Accent1" xfId="3373" builtinId="29" hidden="1"/>
    <cellStyle name="Accent1" xfId="3411" builtinId="29" hidden="1"/>
    <cellStyle name="Accent1" xfId="2893" builtinId="29" hidden="1"/>
    <cellStyle name="Accent1" xfId="3470" builtinId="29" hidden="1"/>
    <cellStyle name="Accent1" xfId="3518" builtinId="29" hidden="1"/>
    <cellStyle name="Accent1" xfId="3561" builtinId="29" hidden="1"/>
    <cellStyle name="Accent1" xfId="3598" builtinId="29" hidden="1"/>
    <cellStyle name="Accent1" xfId="3638" builtinId="29" hidden="1"/>
    <cellStyle name="Accent1" xfId="3676" builtinId="29" hidden="1"/>
    <cellStyle name="Accent1" xfId="3719" builtinId="29" hidden="1"/>
    <cellStyle name="Accent1" xfId="3765" builtinId="29" hidden="1"/>
    <cellStyle name="Accent2" xfId="29" builtinId="33" hidden="1"/>
    <cellStyle name="Accent2" xfId="90" builtinId="33" hidden="1"/>
    <cellStyle name="Accent2" xfId="138" builtinId="33" hidden="1"/>
    <cellStyle name="Accent2" xfId="182" builtinId="33" hidden="1"/>
    <cellStyle name="Accent2" xfId="235" builtinId="33" hidden="1"/>
    <cellStyle name="Accent2" xfId="264" builtinId="33" hidden="1"/>
    <cellStyle name="Accent2" xfId="317" builtinId="33" hidden="1"/>
    <cellStyle name="Accent2" xfId="347" builtinId="33" hidden="1"/>
    <cellStyle name="Accent2" xfId="397" builtinId="33" hidden="1"/>
    <cellStyle name="Accent2" xfId="428" builtinId="33" hidden="1"/>
    <cellStyle name="Accent2" xfId="480" builtinId="33" hidden="1"/>
    <cellStyle name="Accent2" xfId="509" builtinId="33" hidden="1"/>
    <cellStyle name="Accent2" xfId="558" builtinId="33" hidden="1"/>
    <cellStyle name="Accent2" xfId="589" builtinId="33" hidden="1"/>
    <cellStyle name="Accent2" xfId="631" builtinId="33" hidden="1"/>
    <cellStyle name="Accent2" xfId="673" builtinId="33" hidden="1"/>
    <cellStyle name="Accent2" xfId="719" builtinId="33" hidden="1"/>
    <cellStyle name="Accent2" xfId="761" builtinId="33" hidden="1"/>
    <cellStyle name="Accent2" xfId="809" builtinId="33" hidden="1"/>
    <cellStyle name="Accent2" xfId="859" builtinId="33" hidden="1"/>
    <cellStyle name="Accent2" xfId="898" builtinId="33" hidden="1"/>
    <cellStyle name="Accent2" xfId="946" builtinId="33" hidden="1"/>
    <cellStyle name="Accent2" xfId="981" builtinId="33" hidden="1"/>
    <cellStyle name="Accent2" xfId="1030" builtinId="33" hidden="1"/>
    <cellStyle name="Accent2" xfId="1070" builtinId="33" hidden="1"/>
    <cellStyle name="Accent2" xfId="1107" builtinId="33" hidden="1"/>
    <cellStyle name="Accent2" xfId="1147" builtinId="33" hidden="1"/>
    <cellStyle name="Accent2" xfId="1194" builtinId="33" hidden="1"/>
    <cellStyle name="Accent2" xfId="1242" builtinId="33" hidden="1"/>
    <cellStyle name="Accent2" xfId="1281" builtinId="33" hidden="1"/>
    <cellStyle name="Accent2" xfId="1328" builtinId="33" hidden="1"/>
    <cellStyle name="Accent2" xfId="1364" builtinId="33" hidden="1"/>
    <cellStyle name="Accent2" xfId="1413" builtinId="33" hidden="1"/>
    <cellStyle name="Accent2" xfId="1452" builtinId="33" hidden="1"/>
    <cellStyle name="Accent2" xfId="1487" builtinId="33" hidden="1"/>
    <cellStyle name="Accent2" xfId="1525" builtinId="33" hidden="1"/>
    <cellStyle name="Accent2" xfId="1444" builtinId="33" hidden="1"/>
    <cellStyle name="Accent2" xfId="1578" builtinId="33" hidden="1"/>
    <cellStyle name="Accent2" xfId="1618" builtinId="33" hidden="1"/>
    <cellStyle name="Accent2" xfId="1664" builtinId="33" hidden="1"/>
    <cellStyle name="Accent2" xfId="1700" builtinId="33" hidden="1"/>
    <cellStyle name="Accent2" xfId="1749" builtinId="33" hidden="1"/>
    <cellStyle name="Accent2" xfId="1790" builtinId="33" hidden="1"/>
    <cellStyle name="Accent2" xfId="1826" builtinId="33" hidden="1"/>
    <cellStyle name="Accent2" xfId="1866" builtinId="33" hidden="1"/>
    <cellStyle name="Accent2" xfId="1691" builtinId="33" hidden="1"/>
    <cellStyle name="Accent2" xfId="1907" builtinId="33" hidden="1"/>
    <cellStyle name="Accent2" xfId="1944" builtinId="33" hidden="1"/>
    <cellStyle name="Accent2" xfId="1987" builtinId="33" hidden="1"/>
    <cellStyle name="Accent2" xfId="2019" builtinId="33" hidden="1"/>
    <cellStyle name="Accent2" xfId="2064" builtinId="33" hidden="1"/>
    <cellStyle name="Accent2" xfId="2100" builtinId="33" hidden="1"/>
    <cellStyle name="Accent2" xfId="2133" builtinId="33" hidden="1"/>
    <cellStyle name="Accent2" xfId="2169" builtinId="33" hidden="1"/>
    <cellStyle name="Accent2" xfId="834" builtinId="33" hidden="1"/>
    <cellStyle name="Accent2" xfId="2207" builtinId="33" hidden="1"/>
    <cellStyle name="Accent2" xfId="2241" builtinId="33" hidden="1"/>
    <cellStyle name="Accent2" xfId="2294" builtinId="33" hidden="1"/>
    <cellStyle name="Accent2" xfId="2347" builtinId="33" hidden="1"/>
    <cellStyle name="Accent2" xfId="2397" builtinId="33" hidden="1"/>
    <cellStyle name="Accent2" xfId="2441" builtinId="33" hidden="1"/>
    <cellStyle name="Accent2" xfId="2478" builtinId="33" hidden="1"/>
    <cellStyle name="Accent2" xfId="2518" builtinId="33" hidden="1"/>
    <cellStyle name="Accent2" xfId="2556" builtinId="33" hidden="1"/>
    <cellStyle name="Accent2" xfId="2591" builtinId="33" hidden="1"/>
    <cellStyle name="Accent2" xfId="2644" builtinId="33" hidden="1"/>
    <cellStyle name="Accent2" xfId="2695" builtinId="33" hidden="1"/>
    <cellStyle name="Accent2" xfId="2739" builtinId="33" hidden="1"/>
    <cellStyle name="Accent2" xfId="2775" builtinId="33" hidden="1"/>
    <cellStyle name="Accent2" xfId="2815" builtinId="33" hidden="1"/>
    <cellStyle name="Accent2" xfId="2853" builtinId="33" hidden="1"/>
    <cellStyle name="Accent2" xfId="2265" builtinId="33" hidden="1"/>
    <cellStyle name="Accent2" xfId="2926" builtinId="33" hidden="1"/>
    <cellStyle name="Accent2" xfId="2976" builtinId="33" hidden="1"/>
    <cellStyle name="Accent2" xfId="3020" builtinId="33" hidden="1"/>
    <cellStyle name="Accent2" xfId="3057" builtinId="33" hidden="1"/>
    <cellStyle name="Accent2" xfId="3097" builtinId="33" hidden="1"/>
    <cellStyle name="Accent2" xfId="3135" builtinId="33" hidden="1"/>
    <cellStyle name="Accent2" xfId="3160" builtinId="33" hidden="1"/>
    <cellStyle name="Accent2" xfId="3210" builtinId="33" hidden="1"/>
    <cellStyle name="Accent2" xfId="3259" builtinId="33" hidden="1"/>
    <cellStyle name="Accent2" xfId="3301" builtinId="33" hidden="1"/>
    <cellStyle name="Accent2" xfId="3337" builtinId="33" hidden="1"/>
    <cellStyle name="Accent2" xfId="3377" builtinId="33" hidden="1"/>
    <cellStyle name="Accent2" xfId="3415" builtinId="33" hidden="1"/>
    <cellStyle name="Accent2" xfId="3182" builtinId="33" hidden="1"/>
    <cellStyle name="Accent2" xfId="3474" builtinId="33" hidden="1"/>
    <cellStyle name="Accent2" xfId="3522" builtinId="33" hidden="1"/>
    <cellStyle name="Accent2" xfId="3565" builtinId="33" hidden="1"/>
    <cellStyle name="Accent2" xfId="3602" builtinId="33" hidden="1"/>
    <cellStyle name="Accent2" xfId="3642" builtinId="33" hidden="1"/>
    <cellStyle name="Accent2" xfId="3680" builtinId="33" hidden="1"/>
    <cellStyle name="Accent2" xfId="3723" builtinId="33" hidden="1"/>
    <cellStyle name="Accent2" xfId="3769" builtinId="33" hidden="1"/>
    <cellStyle name="Accent3" xfId="33" builtinId="37" hidden="1"/>
    <cellStyle name="Accent3" xfId="94" builtinId="37" hidden="1"/>
    <cellStyle name="Accent3" xfId="142" builtinId="37" hidden="1"/>
    <cellStyle name="Accent3" xfId="186" builtinId="37" hidden="1"/>
    <cellStyle name="Accent3" xfId="239" builtinId="37" hidden="1"/>
    <cellStyle name="Accent3" xfId="268" builtinId="37" hidden="1"/>
    <cellStyle name="Accent3" xfId="321" builtinId="37" hidden="1"/>
    <cellStyle name="Accent3" xfId="351" builtinId="37" hidden="1"/>
    <cellStyle name="Accent3" xfId="401" builtinId="37" hidden="1"/>
    <cellStyle name="Accent3" xfId="432" builtinId="37" hidden="1"/>
    <cellStyle name="Accent3" xfId="484" builtinId="37" hidden="1"/>
    <cellStyle name="Accent3" xfId="513" builtinId="37" hidden="1"/>
    <cellStyle name="Accent3" xfId="562" builtinId="37" hidden="1"/>
    <cellStyle name="Accent3" xfId="593" builtinId="37" hidden="1"/>
    <cellStyle name="Accent3" xfId="635" builtinId="37" hidden="1"/>
    <cellStyle name="Accent3" xfId="677" builtinId="37" hidden="1"/>
    <cellStyle name="Accent3" xfId="723" builtinId="37" hidden="1"/>
    <cellStyle name="Accent3" xfId="765" builtinId="37" hidden="1"/>
    <cellStyle name="Accent3" xfId="813" builtinId="37" hidden="1"/>
    <cellStyle name="Accent3" xfId="863" builtinId="37" hidden="1"/>
    <cellStyle name="Accent3" xfId="902" builtinId="37" hidden="1"/>
    <cellStyle name="Accent3" xfId="950" builtinId="37" hidden="1"/>
    <cellStyle name="Accent3" xfId="985" builtinId="37" hidden="1"/>
    <cellStyle name="Accent3" xfId="1034" builtinId="37" hidden="1"/>
    <cellStyle name="Accent3" xfId="1074" builtinId="37" hidden="1"/>
    <cellStyle name="Accent3" xfId="1111" builtinId="37" hidden="1"/>
    <cellStyle name="Accent3" xfId="1151" builtinId="37" hidden="1"/>
    <cellStyle name="Accent3" xfId="1198" builtinId="37" hidden="1"/>
    <cellStyle name="Accent3" xfId="1246" builtinId="37" hidden="1"/>
    <cellStyle name="Accent3" xfId="1285" builtinId="37" hidden="1"/>
    <cellStyle name="Accent3" xfId="1332" builtinId="37" hidden="1"/>
    <cellStyle name="Accent3" xfId="1368" builtinId="37" hidden="1"/>
    <cellStyle name="Accent3" xfId="1417" builtinId="37" hidden="1"/>
    <cellStyle name="Accent3" xfId="1456" builtinId="37" hidden="1"/>
    <cellStyle name="Accent3" xfId="1491" builtinId="37" hidden="1"/>
    <cellStyle name="Accent3" xfId="1529" builtinId="37" hidden="1"/>
    <cellStyle name="Accent3" xfId="1406" builtinId="37" hidden="1"/>
    <cellStyle name="Accent3" xfId="1582" builtinId="37" hidden="1"/>
    <cellStyle name="Accent3" xfId="1622" builtinId="37" hidden="1"/>
    <cellStyle name="Accent3" xfId="1668" builtinId="37" hidden="1"/>
    <cellStyle name="Accent3" xfId="1704" builtinId="37" hidden="1"/>
    <cellStyle name="Accent3" xfId="1753" builtinId="37" hidden="1"/>
    <cellStyle name="Accent3" xfId="1794" builtinId="37" hidden="1"/>
    <cellStyle name="Accent3" xfId="1830" builtinId="37" hidden="1"/>
    <cellStyle name="Accent3" xfId="1870" builtinId="37" hidden="1"/>
    <cellStyle name="Accent3" xfId="1720" builtinId="37" hidden="1"/>
    <cellStyle name="Accent3" xfId="1911" builtinId="37" hidden="1"/>
    <cellStyle name="Accent3" xfId="1948" builtinId="37" hidden="1"/>
    <cellStyle name="Accent3" xfId="1991" builtinId="37" hidden="1"/>
    <cellStyle name="Accent3" xfId="2023" builtinId="37" hidden="1"/>
    <cellStyle name="Accent3" xfId="2068" builtinId="37" hidden="1"/>
    <cellStyle name="Accent3" xfId="2104" builtinId="37" hidden="1"/>
    <cellStyle name="Accent3" xfId="2137" builtinId="37" hidden="1"/>
    <cellStyle name="Accent3" xfId="2173" builtinId="37" hidden="1"/>
    <cellStyle name="Accent3" xfId="1002" builtinId="37" hidden="1"/>
    <cellStyle name="Accent3" xfId="2211" builtinId="37" hidden="1"/>
    <cellStyle name="Accent3" xfId="2245" builtinId="37" hidden="1"/>
    <cellStyle name="Accent3" xfId="2298" builtinId="37" hidden="1"/>
    <cellStyle name="Accent3" xfId="2351" builtinId="37" hidden="1"/>
    <cellStyle name="Accent3" xfId="2401" builtinId="37" hidden="1"/>
    <cellStyle name="Accent3" xfId="2445" builtinId="37" hidden="1"/>
    <cellStyle name="Accent3" xfId="2482" builtinId="37" hidden="1"/>
    <cellStyle name="Accent3" xfId="2522" builtinId="37" hidden="1"/>
    <cellStyle name="Accent3" xfId="2560" builtinId="37" hidden="1"/>
    <cellStyle name="Accent3" xfId="2595" builtinId="37" hidden="1"/>
    <cellStyle name="Accent3" xfId="2648" builtinId="37" hidden="1"/>
    <cellStyle name="Accent3" xfId="2699" builtinId="37" hidden="1"/>
    <cellStyle name="Accent3" xfId="2743" builtinId="37" hidden="1"/>
    <cellStyle name="Accent3" xfId="2779" builtinId="37" hidden="1"/>
    <cellStyle name="Accent3" xfId="2819" builtinId="37" hidden="1"/>
    <cellStyle name="Accent3" xfId="2857" builtinId="37" hidden="1"/>
    <cellStyle name="Accent3" xfId="2877" builtinId="37" hidden="1"/>
    <cellStyle name="Accent3" xfId="2930" builtinId="37" hidden="1"/>
    <cellStyle name="Accent3" xfId="2980" builtinId="37" hidden="1"/>
    <cellStyle name="Accent3" xfId="3024" builtinId="37" hidden="1"/>
    <cellStyle name="Accent3" xfId="3061" builtinId="37" hidden="1"/>
    <cellStyle name="Accent3" xfId="3101" builtinId="37" hidden="1"/>
    <cellStyle name="Accent3" xfId="3139" builtinId="37" hidden="1"/>
    <cellStyle name="Accent3" xfId="3164" builtinId="37" hidden="1"/>
    <cellStyle name="Accent3" xfId="3214" builtinId="37" hidden="1"/>
    <cellStyle name="Accent3" xfId="3263" builtinId="37" hidden="1"/>
    <cellStyle name="Accent3" xfId="3305" builtinId="37" hidden="1"/>
    <cellStyle name="Accent3" xfId="3341" builtinId="37" hidden="1"/>
    <cellStyle name="Accent3" xfId="3381" builtinId="37" hidden="1"/>
    <cellStyle name="Accent3" xfId="3419" builtinId="37" hidden="1"/>
    <cellStyle name="Accent3" xfId="3438" builtinId="37" hidden="1"/>
    <cellStyle name="Accent3" xfId="3478" builtinId="37" hidden="1"/>
    <cellStyle name="Accent3" xfId="3526" builtinId="37" hidden="1"/>
    <cellStyle name="Accent3" xfId="3569" builtinId="37" hidden="1"/>
    <cellStyle name="Accent3" xfId="3606" builtinId="37" hidden="1"/>
    <cellStyle name="Accent3" xfId="3646" builtinId="37" hidden="1"/>
    <cellStyle name="Accent3" xfId="3684" builtinId="37" hidden="1"/>
    <cellStyle name="Accent3" xfId="3727" builtinId="37" hidden="1"/>
    <cellStyle name="Accent3" xfId="3773" builtinId="37" hidden="1"/>
    <cellStyle name="Accent4" xfId="37" builtinId="41" hidden="1"/>
    <cellStyle name="Accent4" xfId="98" builtinId="41" hidden="1"/>
    <cellStyle name="Accent4" xfId="146" builtinId="41" hidden="1"/>
    <cellStyle name="Accent4" xfId="190" builtinId="41" hidden="1"/>
    <cellStyle name="Accent4" xfId="243" builtinId="41" hidden="1"/>
    <cellStyle name="Accent4" xfId="272" builtinId="41" hidden="1"/>
    <cellStyle name="Accent4" xfId="325" builtinId="41" hidden="1"/>
    <cellStyle name="Accent4" xfId="355" builtinId="41" hidden="1"/>
    <cellStyle name="Accent4" xfId="405" builtinId="41" hidden="1"/>
    <cellStyle name="Accent4" xfId="436" builtinId="41" hidden="1"/>
    <cellStyle name="Accent4" xfId="488" builtinId="41" hidden="1"/>
    <cellStyle name="Accent4" xfId="517" builtinId="41" hidden="1"/>
    <cellStyle name="Accent4" xfId="566" builtinId="41" hidden="1"/>
    <cellStyle name="Accent4" xfId="597" builtinId="41" hidden="1"/>
    <cellStyle name="Accent4" xfId="639" builtinId="41" hidden="1"/>
    <cellStyle name="Accent4" xfId="681" builtinId="41" hidden="1"/>
    <cellStyle name="Accent4" xfId="727" builtinId="41" hidden="1"/>
    <cellStyle name="Accent4" xfId="769" builtinId="41" hidden="1"/>
    <cellStyle name="Accent4" xfId="817" builtinId="41" hidden="1"/>
    <cellStyle name="Accent4" xfId="867" builtinId="41" hidden="1"/>
    <cellStyle name="Accent4" xfId="906" builtinId="41" hidden="1"/>
    <cellStyle name="Accent4" xfId="954" builtinId="41" hidden="1"/>
    <cellStyle name="Accent4" xfId="989" builtinId="41" hidden="1"/>
    <cellStyle name="Accent4" xfId="1038" builtinId="41" hidden="1"/>
    <cellStyle name="Accent4" xfId="1078" builtinId="41" hidden="1"/>
    <cellStyle name="Accent4" xfId="1115" builtinId="41" hidden="1"/>
    <cellStyle name="Accent4" xfId="1155" builtinId="41" hidden="1"/>
    <cellStyle name="Accent4" xfId="1202" builtinId="41" hidden="1"/>
    <cellStyle name="Accent4" xfId="1250" builtinId="41" hidden="1"/>
    <cellStyle name="Accent4" xfId="1289" builtinId="41" hidden="1"/>
    <cellStyle name="Accent4" xfId="1336" builtinId="41" hidden="1"/>
    <cellStyle name="Accent4" xfId="1372" builtinId="41" hidden="1"/>
    <cellStyle name="Accent4" xfId="1421" builtinId="41" hidden="1"/>
    <cellStyle name="Accent4" xfId="1460" builtinId="41" hidden="1"/>
    <cellStyle name="Accent4" xfId="1495" builtinId="41" hidden="1"/>
    <cellStyle name="Accent4" xfId="1533" builtinId="41" hidden="1"/>
    <cellStyle name="Accent4" xfId="1171" builtinId="41" hidden="1"/>
    <cellStyle name="Accent4" xfId="1586" builtinId="41" hidden="1"/>
    <cellStyle name="Accent4" xfId="1626" builtinId="41" hidden="1"/>
    <cellStyle name="Accent4" xfId="1672" builtinId="41" hidden="1"/>
    <cellStyle name="Accent4" xfId="1708" builtinId="41" hidden="1"/>
    <cellStyle name="Accent4" xfId="1757" builtinId="41" hidden="1"/>
    <cellStyle name="Accent4" xfId="1798" builtinId="41" hidden="1"/>
    <cellStyle name="Accent4" xfId="1834" builtinId="41" hidden="1"/>
    <cellStyle name="Accent4" xfId="1874" builtinId="41" hidden="1"/>
    <cellStyle name="Accent4" xfId="1638" builtinId="41" hidden="1"/>
    <cellStyle name="Accent4" xfId="1915" builtinId="41" hidden="1"/>
    <cellStyle name="Accent4" xfId="1952" builtinId="41" hidden="1"/>
    <cellStyle name="Accent4" xfId="1995" builtinId="41" hidden="1"/>
    <cellStyle name="Accent4" xfId="2027" builtinId="41" hidden="1"/>
    <cellStyle name="Accent4" xfId="2072" builtinId="41" hidden="1"/>
    <cellStyle name="Accent4" xfId="2108" builtinId="41" hidden="1"/>
    <cellStyle name="Accent4" xfId="2141" builtinId="41" hidden="1"/>
    <cellStyle name="Accent4" xfId="2177" builtinId="41" hidden="1"/>
    <cellStyle name="Accent4" xfId="1099" builtinId="41" hidden="1"/>
    <cellStyle name="Accent4" xfId="2215" builtinId="41" hidden="1"/>
    <cellStyle name="Accent4" xfId="2249" builtinId="41" hidden="1"/>
    <cellStyle name="Accent4" xfId="2302" builtinId="41" hidden="1"/>
    <cellStyle name="Accent4" xfId="2355" builtinId="41" hidden="1"/>
    <cellStyle name="Accent4" xfId="2405" builtinId="41" hidden="1"/>
    <cellStyle name="Accent4" xfId="2449" builtinId="41" hidden="1"/>
    <cellStyle name="Accent4" xfId="2486" builtinId="41" hidden="1"/>
    <cellStyle name="Accent4" xfId="2526" builtinId="41" hidden="1"/>
    <cellStyle name="Accent4" xfId="2564" builtinId="41" hidden="1"/>
    <cellStyle name="Accent4" xfId="2599" builtinId="41" hidden="1"/>
    <cellStyle name="Accent4" xfId="2652" builtinId="41" hidden="1"/>
    <cellStyle name="Accent4" xfId="2703" builtinId="41" hidden="1"/>
    <cellStyle name="Accent4" xfId="2747" builtinId="41" hidden="1"/>
    <cellStyle name="Accent4" xfId="2783" builtinId="41" hidden="1"/>
    <cellStyle name="Accent4" xfId="2823" builtinId="41" hidden="1"/>
    <cellStyle name="Accent4" xfId="2861" builtinId="41" hidden="1"/>
    <cellStyle name="Accent4" xfId="2881" builtinId="41" hidden="1"/>
    <cellStyle name="Accent4" xfId="2934" builtinId="41" hidden="1"/>
    <cellStyle name="Accent4" xfId="2984" builtinId="41" hidden="1"/>
    <cellStyle name="Accent4" xfId="3028" builtinId="41" hidden="1"/>
    <cellStyle name="Accent4" xfId="3065" builtinId="41" hidden="1"/>
    <cellStyle name="Accent4" xfId="3105" builtinId="41" hidden="1"/>
    <cellStyle name="Accent4" xfId="3143" builtinId="41" hidden="1"/>
    <cellStyle name="Accent4" xfId="3168" builtinId="41" hidden="1"/>
    <cellStyle name="Accent4" xfId="3218" builtinId="41" hidden="1"/>
    <cellStyle name="Accent4" xfId="3267" builtinId="41" hidden="1"/>
    <cellStyle name="Accent4" xfId="3309" builtinId="41" hidden="1"/>
    <cellStyle name="Accent4" xfId="3345" builtinId="41" hidden="1"/>
    <cellStyle name="Accent4" xfId="3385" builtinId="41" hidden="1"/>
    <cellStyle name="Accent4" xfId="3423" builtinId="41" hidden="1"/>
    <cellStyle name="Accent4" xfId="3442" builtinId="41" hidden="1"/>
    <cellStyle name="Accent4" xfId="3482" builtinId="41" hidden="1"/>
    <cellStyle name="Accent4" xfId="3530" builtinId="41" hidden="1"/>
    <cellStyle name="Accent4" xfId="3573" builtinId="41" hidden="1"/>
    <cellStyle name="Accent4" xfId="3610" builtinId="41" hidden="1"/>
    <cellStyle name="Accent4" xfId="3650" builtinId="41" hidden="1"/>
    <cellStyle name="Accent4" xfId="3688" builtinId="41" hidden="1"/>
    <cellStyle name="Accent4" xfId="3731" builtinId="41" hidden="1"/>
    <cellStyle name="Accent4" xfId="3777" builtinId="41" hidden="1"/>
    <cellStyle name="Accent5" xfId="41" builtinId="45" hidden="1"/>
    <cellStyle name="Accent5" xfId="102" builtinId="45" hidden="1"/>
    <cellStyle name="Accent5" xfId="150" builtinId="45" hidden="1"/>
    <cellStyle name="Accent5" xfId="194" builtinId="45" hidden="1"/>
    <cellStyle name="Accent5" xfId="247" builtinId="45" hidden="1"/>
    <cellStyle name="Accent5" xfId="276" builtinId="45" hidden="1"/>
    <cellStyle name="Accent5" xfId="329" builtinId="45" hidden="1"/>
    <cellStyle name="Accent5" xfId="359" builtinId="45" hidden="1"/>
    <cellStyle name="Accent5" xfId="409" builtinId="45" hidden="1"/>
    <cellStyle name="Accent5" xfId="440" builtinId="45" hidden="1"/>
    <cellStyle name="Accent5" xfId="492" builtinId="45" hidden="1"/>
    <cellStyle name="Accent5" xfId="521" builtinId="45" hidden="1"/>
    <cellStyle name="Accent5" xfId="570" builtinId="45" hidden="1"/>
    <cellStyle name="Accent5" xfId="601" builtinId="45" hidden="1"/>
    <cellStyle name="Accent5" xfId="643" builtinId="45" hidden="1"/>
    <cellStyle name="Accent5" xfId="685" builtinId="45" hidden="1"/>
    <cellStyle name="Accent5" xfId="731" builtinId="45" hidden="1"/>
    <cellStyle name="Accent5" xfId="773" builtinId="45" hidden="1"/>
    <cellStyle name="Accent5" xfId="821" builtinId="45" hidden="1"/>
    <cellStyle name="Accent5" xfId="871" builtinId="45" hidden="1"/>
    <cellStyle name="Accent5" xfId="910" builtinId="45" hidden="1"/>
    <cellStyle name="Accent5" xfId="958" builtinId="45" hidden="1"/>
    <cellStyle name="Accent5" xfId="993" builtinId="45" hidden="1"/>
    <cellStyle name="Accent5" xfId="1042" builtinId="45" hidden="1"/>
    <cellStyle name="Accent5" xfId="1082" builtinId="45" hidden="1"/>
    <cellStyle name="Accent5" xfId="1119" builtinId="45" hidden="1"/>
    <cellStyle name="Accent5" xfId="1159" builtinId="45" hidden="1"/>
    <cellStyle name="Accent5" xfId="1206" builtinId="45" hidden="1"/>
    <cellStyle name="Accent5" xfId="1254" builtinId="45" hidden="1"/>
    <cellStyle name="Accent5" xfId="1293" builtinId="45" hidden="1"/>
    <cellStyle name="Accent5" xfId="1340" builtinId="45" hidden="1"/>
    <cellStyle name="Accent5" xfId="1376" builtinId="45" hidden="1"/>
    <cellStyle name="Accent5" xfId="1425" builtinId="45" hidden="1"/>
    <cellStyle name="Accent5" xfId="1464" builtinId="45" hidden="1"/>
    <cellStyle name="Accent5" xfId="1499" builtinId="45" hidden="1"/>
    <cellStyle name="Accent5" xfId="1537" builtinId="45" hidden="1"/>
    <cellStyle name="Accent5" xfId="1174" builtinId="45" hidden="1"/>
    <cellStyle name="Accent5" xfId="1590" builtinId="45" hidden="1"/>
    <cellStyle name="Accent5" xfId="1630" builtinId="45" hidden="1"/>
    <cellStyle name="Accent5" xfId="1676" builtinId="45" hidden="1"/>
    <cellStyle name="Accent5" xfId="1712" builtinId="45" hidden="1"/>
    <cellStyle name="Accent5" xfId="1761" builtinId="45" hidden="1"/>
    <cellStyle name="Accent5" xfId="1802" builtinId="45" hidden="1"/>
    <cellStyle name="Accent5" xfId="1838" builtinId="45" hidden="1"/>
    <cellStyle name="Accent5" xfId="1878" builtinId="45" hidden="1"/>
    <cellStyle name="Accent5" xfId="1886" builtinId="45" hidden="1"/>
    <cellStyle name="Accent5" xfId="1919" builtinId="45" hidden="1"/>
    <cellStyle name="Accent5" xfId="1956" builtinId="45" hidden="1"/>
    <cellStyle name="Accent5" xfId="1999" builtinId="45" hidden="1"/>
    <cellStyle name="Accent5" xfId="2031" builtinId="45" hidden="1"/>
    <cellStyle name="Accent5" xfId="2076" builtinId="45" hidden="1"/>
    <cellStyle name="Accent5" xfId="2112" builtinId="45" hidden="1"/>
    <cellStyle name="Accent5" xfId="2145" builtinId="45" hidden="1"/>
    <cellStyle name="Accent5" xfId="2181" builtinId="45" hidden="1"/>
    <cellStyle name="Accent5" xfId="1142" builtinId="45" hidden="1"/>
    <cellStyle name="Accent5" xfId="2219" builtinId="45" hidden="1"/>
    <cellStyle name="Accent5" xfId="2253" builtinId="45" hidden="1"/>
    <cellStyle name="Accent5" xfId="2306" builtinId="45" hidden="1"/>
    <cellStyle name="Accent5" xfId="2359" builtinId="45" hidden="1"/>
    <cellStyle name="Accent5" xfId="2409" builtinId="45" hidden="1"/>
    <cellStyle name="Accent5" xfId="2453" builtinId="45" hidden="1"/>
    <cellStyle name="Accent5" xfId="2490" builtinId="45" hidden="1"/>
    <cellStyle name="Accent5" xfId="2530" builtinId="45" hidden="1"/>
    <cellStyle name="Accent5" xfId="2568" builtinId="45" hidden="1"/>
    <cellStyle name="Accent5" xfId="2603" builtinId="45" hidden="1"/>
    <cellStyle name="Accent5" xfId="2656" builtinId="45" hidden="1"/>
    <cellStyle name="Accent5" xfId="2707" builtinId="45" hidden="1"/>
    <cellStyle name="Accent5" xfId="2751" builtinId="45" hidden="1"/>
    <cellStyle name="Accent5" xfId="2787" builtinId="45" hidden="1"/>
    <cellStyle name="Accent5" xfId="2827" builtinId="45" hidden="1"/>
    <cellStyle name="Accent5" xfId="2865" builtinId="45" hidden="1"/>
    <cellStyle name="Accent5" xfId="2885" builtinId="45" hidden="1"/>
    <cellStyle name="Accent5" xfId="2938" builtinId="45" hidden="1"/>
    <cellStyle name="Accent5" xfId="2988" builtinId="45" hidden="1"/>
    <cellStyle name="Accent5" xfId="3032" builtinId="45" hidden="1"/>
    <cellStyle name="Accent5" xfId="3069" builtinId="45" hidden="1"/>
    <cellStyle name="Accent5" xfId="3109" builtinId="45" hidden="1"/>
    <cellStyle name="Accent5" xfId="3147" builtinId="45" hidden="1"/>
    <cellStyle name="Accent5" xfId="3172" builtinId="45" hidden="1"/>
    <cellStyle name="Accent5" xfId="3222" builtinId="45" hidden="1"/>
    <cellStyle name="Accent5" xfId="3271" builtinId="45" hidden="1"/>
    <cellStyle name="Accent5" xfId="3313" builtinId="45" hidden="1"/>
    <cellStyle name="Accent5" xfId="3349" builtinId="45" hidden="1"/>
    <cellStyle name="Accent5" xfId="3389" builtinId="45" hidden="1"/>
    <cellStyle name="Accent5" xfId="3427" builtinId="45" hidden="1"/>
    <cellStyle name="Accent5" xfId="3446" builtinId="45" hidden="1"/>
    <cellStyle name="Accent5" xfId="3486" builtinId="45" hidden="1"/>
    <cellStyle name="Accent5" xfId="3534" builtinId="45" hidden="1"/>
    <cellStyle name="Accent5" xfId="3577" builtinId="45" hidden="1"/>
    <cellStyle name="Accent5" xfId="3614" builtinId="45" hidden="1"/>
    <cellStyle name="Accent5" xfId="3654" builtinId="45" hidden="1"/>
    <cellStyle name="Accent5" xfId="3692" builtinId="45" hidden="1"/>
    <cellStyle name="Accent5" xfId="3735" builtinId="45" hidden="1"/>
    <cellStyle name="Accent5" xfId="3781" builtinId="45" hidden="1"/>
    <cellStyle name="Accent6" xfId="45" builtinId="49" hidden="1"/>
    <cellStyle name="Accent6" xfId="106" builtinId="49" hidden="1"/>
    <cellStyle name="Accent6" xfId="154" builtinId="49" hidden="1"/>
    <cellStyle name="Accent6" xfId="198" builtinId="49" hidden="1"/>
    <cellStyle name="Accent6" xfId="251" builtinId="49" hidden="1"/>
    <cellStyle name="Accent6" xfId="280" builtinId="49" hidden="1"/>
    <cellStyle name="Accent6" xfId="333" builtinId="49" hidden="1"/>
    <cellStyle name="Accent6" xfId="363" builtinId="49" hidden="1"/>
    <cellStyle name="Accent6" xfId="413" builtinId="49" hidden="1"/>
    <cellStyle name="Accent6" xfId="444" builtinId="49" hidden="1"/>
    <cellStyle name="Accent6" xfId="496" builtinId="49" hidden="1"/>
    <cellStyle name="Accent6" xfId="525" builtinId="49" hidden="1"/>
    <cellStyle name="Accent6" xfId="574" builtinId="49" hidden="1"/>
    <cellStyle name="Accent6" xfId="605" builtinId="49" hidden="1"/>
    <cellStyle name="Accent6" xfId="647" builtinId="49" hidden="1"/>
    <cellStyle name="Accent6" xfId="689" builtinId="49" hidden="1"/>
    <cellStyle name="Accent6" xfId="735" builtinId="49" hidden="1"/>
    <cellStyle name="Accent6" xfId="777" builtinId="49" hidden="1"/>
    <cellStyle name="Accent6" xfId="825" builtinId="49" hidden="1"/>
    <cellStyle name="Accent6" xfId="875" builtinId="49" hidden="1"/>
    <cellStyle name="Accent6" xfId="914" builtinId="49" hidden="1"/>
    <cellStyle name="Accent6" xfId="962" builtinId="49" hidden="1"/>
    <cellStyle name="Accent6" xfId="997" builtinId="49" hidden="1"/>
    <cellStyle name="Accent6" xfId="1046" builtinId="49" hidden="1"/>
    <cellStyle name="Accent6" xfId="1086" builtinId="49" hidden="1"/>
    <cellStyle name="Accent6" xfId="1123" builtinId="49" hidden="1"/>
    <cellStyle name="Accent6" xfId="1163" builtinId="49" hidden="1"/>
    <cellStyle name="Accent6" xfId="1210" builtinId="49" hidden="1"/>
    <cellStyle name="Accent6" xfId="1258" builtinId="49" hidden="1"/>
    <cellStyle name="Accent6" xfId="1297" builtinId="49" hidden="1"/>
    <cellStyle name="Accent6" xfId="1344" builtinId="49" hidden="1"/>
    <cellStyle name="Accent6" xfId="1380" builtinId="49" hidden="1"/>
    <cellStyle name="Accent6" xfId="1429" builtinId="49" hidden="1"/>
    <cellStyle name="Accent6" xfId="1468" builtinId="49" hidden="1"/>
    <cellStyle name="Accent6" xfId="1503" builtinId="49" hidden="1"/>
    <cellStyle name="Accent6" xfId="1541" builtinId="49" hidden="1"/>
    <cellStyle name="Accent6" xfId="1175" builtinId="49" hidden="1"/>
    <cellStyle name="Accent6" xfId="1594" builtinId="49" hidden="1"/>
    <cellStyle name="Accent6" xfId="1634" builtinId="49" hidden="1"/>
    <cellStyle name="Accent6" xfId="1680" builtinId="49" hidden="1"/>
    <cellStyle name="Accent6" xfId="1716" builtinId="49" hidden="1"/>
    <cellStyle name="Accent6" xfId="1765" builtinId="49" hidden="1"/>
    <cellStyle name="Accent6" xfId="1806" builtinId="49" hidden="1"/>
    <cellStyle name="Accent6" xfId="1842" builtinId="49" hidden="1"/>
    <cellStyle name="Accent6" xfId="1882" builtinId="49" hidden="1"/>
    <cellStyle name="Accent6" xfId="1815" builtinId="49" hidden="1"/>
    <cellStyle name="Accent6" xfId="1923" builtinId="49" hidden="1"/>
    <cellStyle name="Accent6" xfId="1960" builtinId="49" hidden="1"/>
    <cellStyle name="Accent6" xfId="2003" builtinId="49" hidden="1"/>
    <cellStyle name="Accent6" xfId="2035" builtinId="49" hidden="1"/>
    <cellStyle name="Accent6" xfId="2080" builtinId="49" hidden="1"/>
    <cellStyle name="Accent6" xfId="2116" builtinId="49" hidden="1"/>
    <cellStyle name="Accent6" xfId="2149" builtinId="49" hidden="1"/>
    <cellStyle name="Accent6" xfId="2185" builtinId="49" hidden="1"/>
    <cellStyle name="Accent6" xfId="1613" builtinId="49" hidden="1"/>
    <cellStyle name="Accent6" xfId="2223" builtinId="49" hidden="1"/>
    <cellStyle name="Accent6" xfId="2257" builtinId="49" hidden="1"/>
    <cellStyle name="Accent6" xfId="2310" builtinId="49" hidden="1"/>
    <cellStyle name="Accent6" xfId="2363" builtinId="49" hidden="1"/>
    <cellStyle name="Accent6" xfId="2413" builtinId="49" hidden="1"/>
    <cellStyle name="Accent6" xfId="2457" builtinId="49" hidden="1"/>
    <cellStyle name="Accent6" xfId="2494" builtinId="49" hidden="1"/>
    <cellStyle name="Accent6" xfId="2534" builtinId="49" hidden="1"/>
    <cellStyle name="Accent6" xfId="2572" builtinId="49" hidden="1"/>
    <cellStyle name="Accent6" xfId="2607" builtinId="49" hidden="1"/>
    <cellStyle name="Accent6" xfId="2660" builtinId="49" hidden="1"/>
    <cellStyle name="Accent6" xfId="2711" builtinId="49" hidden="1"/>
    <cellStyle name="Accent6" xfId="2755" builtinId="49" hidden="1"/>
    <cellStyle name="Accent6" xfId="2791" builtinId="49" hidden="1"/>
    <cellStyle name="Accent6" xfId="2831" builtinId="49" hidden="1"/>
    <cellStyle name="Accent6" xfId="2869" builtinId="49" hidden="1"/>
    <cellStyle name="Accent6" xfId="2889" builtinId="49" hidden="1"/>
    <cellStyle name="Accent6" xfId="2942" builtinId="49" hidden="1"/>
    <cellStyle name="Accent6" xfId="2992" builtinId="49" hidden="1"/>
    <cellStyle name="Accent6" xfId="3036" builtinId="49" hidden="1"/>
    <cellStyle name="Accent6" xfId="3073" builtinId="49" hidden="1"/>
    <cellStyle name="Accent6" xfId="3113" builtinId="49" hidden="1"/>
    <cellStyle name="Accent6" xfId="3151" builtinId="49" hidden="1"/>
    <cellStyle name="Accent6" xfId="3176" builtinId="49" hidden="1"/>
    <cellStyle name="Accent6" xfId="3226" builtinId="49" hidden="1"/>
    <cellStyle name="Accent6" xfId="3275" builtinId="49" hidden="1"/>
    <cellStyle name="Accent6" xfId="3317" builtinId="49" hidden="1"/>
    <cellStyle name="Accent6" xfId="3353" builtinId="49" hidden="1"/>
    <cellStyle name="Accent6" xfId="3393" builtinId="49" hidden="1"/>
    <cellStyle name="Accent6" xfId="3431" builtinId="49" hidden="1"/>
    <cellStyle name="Accent6" xfId="3450" builtinId="49" hidden="1"/>
    <cellStyle name="Accent6" xfId="3490" builtinId="49" hidden="1"/>
    <cellStyle name="Accent6" xfId="3538" builtinId="49" hidden="1"/>
    <cellStyle name="Accent6" xfId="3581" builtinId="49" hidden="1"/>
    <cellStyle name="Accent6" xfId="3618" builtinId="49" hidden="1"/>
    <cellStyle name="Accent6" xfId="3658" builtinId="49" hidden="1"/>
    <cellStyle name="Accent6" xfId="3696" builtinId="49" hidden="1"/>
    <cellStyle name="Accent6" xfId="3739" builtinId="49" hidden="1"/>
    <cellStyle name="Accent6" xfId="3785" builtinId="49" hidden="1"/>
    <cellStyle name="Bad" xfId="9" builtinId="27" hidden="1"/>
    <cellStyle name="Bad" xfId="70" builtinId="27" hidden="1"/>
    <cellStyle name="Bad" xfId="121" builtinId="27" hidden="1"/>
    <cellStyle name="Bad" xfId="162" builtinId="27" hidden="1"/>
    <cellStyle name="Bad" xfId="218" builtinId="27" hidden="1"/>
    <cellStyle name="Bad" xfId="207" builtinId="27" hidden="1"/>
    <cellStyle name="Bad" xfId="300" builtinId="27" hidden="1"/>
    <cellStyle name="Bad" xfId="289" builtinId="27" hidden="1"/>
    <cellStyle name="Bad" xfId="380" builtinId="27" hidden="1"/>
    <cellStyle name="Bad" xfId="341" builtinId="27" hidden="1"/>
    <cellStyle name="Bad" xfId="463" builtinId="27" hidden="1"/>
    <cellStyle name="Bad" xfId="159" builtinId="27" hidden="1"/>
    <cellStyle name="Bad" xfId="541" builtinId="27" hidden="1"/>
    <cellStyle name="Bad" xfId="536" builtinId="27" hidden="1"/>
    <cellStyle name="Bad" xfId="614" builtinId="27" hidden="1"/>
    <cellStyle name="Bad" xfId="654" builtinId="27" hidden="1"/>
    <cellStyle name="Bad" xfId="702" builtinId="27" hidden="1"/>
    <cellStyle name="Bad" xfId="742" builtinId="27" hidden="1"/>
    <cellStyle name="Bad" xfId="795" builtinId="27" hidden="1"/>
    <cellStyle name="Bad" xfId="840" builtinId="27" hidden="1"/>
    <cellStyle name="Bad" xfId="883" builtinId="27" hidden="1"/>
    <cellStyle name="Bad" xfId="927" builtinId="27" hidden="1"/>
    <cellStyle name="Bad" xfId="922" builtinId="27" hidden="1"/>
    <cellStyle name="Bad" xfId="1012" builtinId="27" hidden="1"/>
    <cellStyle name="Bad" xfId="1006" builtinId="27" hidden="1"/>
    <cellStyle name="Bad" xfId="1054" builtinId="27" hidden="1"/>
    <cellStyle name="Bad" xfId="1131" builtinId="27" hidden="1"/>
    <cellStyle name="Bad" xfId="1180" builtinId="27" hidden="1"/>
    <cellStyle name="Bad" xfId="1224" builtinId="27" hidden="1"/>
    <cellStyle name="Bad" xfId="1266" builtinId="27" hidden="1"/>
    <cellStyle name="Bad" xfId="1309" builtinId="27" hidden="1"/>
    <cellStyle name="Bad" xfId="1304" builtinId="27" hidden="1"/>
    <cellStyle name="Bad" xfId="1395" builtinId="27" hidden="1"/>
    <cellStyle name="Bad" xfId="1389" builtinId="27" hidden="1"/>
    <cellStyle name="Bad" xfId="1437" builtinId="27" hidden="1"/>
    <cellStyle name="Bad" xfId="1510" builtinId="27" hidden="1"/>
    <cellStyle name="Bad" xfId="1322" builtinId="27" hidden="1"/>
    <cellStyle name="Bad" xfId="1560" builtinId="27" hidden="1"/>
    <cellStyle name="Bad" xfId="1602" builtinId="27" hidden="1"/>
    <cellStyle name="Bad" xfId="1645" builtinId="27" hidden="1"/>
    <cellStyle name="Bad" xfId="1640" builtinId="27" hidden="1"/>
    <cellStyle name="Bad" xfId="1730" builtinId="27" hidden="1"/>
    <cellStyle name="Bad" xfId="1724" builtinId="27" hidden="1"/>
    <cellStyle name="Bad" xfId="1773" builtinId="27" hidden="1"/>
    <cellStyle name="Bad" xfId="1850" builtinId="27" hidden="1"/>
    <cellStyle name="Bad" xfId="1550" builtinId="27" hidden="1"/>
    <cellStyle name="Bad" xfId="1890" builtinId="27" hidden="1"/>
    <cellStyle name="Bad" xfId="1930" builtinId="27" hidden="1"/>
    <cellStyle name="Bad" xfId="1970" builtinId="27" hidden="1"/>
    <cellStyle name="Bad" xfId="1965" builtinId="27" hidden="1"/>
    <cellStyle name="Bad" xfId="2047" builtinId="27" hidden="1"/>
    <cellStyle name="Bad" xfId="2041" builtinId="27" hidden="1"/>
    <cellStyle name="Bad" xfId="2088" builtinId="27" hidden="1"/>
    <cellStyle name="Bad" xfId="2155" builtinId="27" hidden="1"/>
    <cellStyle name="Bad" xfId="1141" builtinId="27" hidden="1"/>
    <cellStyle name="Bad" xfId="919" builtinId="27" hidden="1"/>
    <cellStyle name="Bad" xfId="789" builtinId="27" hidden="1"/>
    <cellStyle name="Bad" xfId="2274" builtinId="27" hidden="1"/>
    <cellStyle name="Bad" xfId="2330" builtinId="27" hidden="1"/>
    <cellStyle name="Bad" xfId="2377" builtinId="27" hidden="1"/>
    <cellStyle name="Bad" xfId="2424" builtinId="27" hidden="1"/>
    <cellStyle name="Bad" xfId="2369" builtinId="27" hidden="1"/>
    <cellStyle name="Bad" xfId="2503" builtinId="27" hidden="1"/>
    <cellStyle name="Bad" xfId="2512" builtinId="27" hidden="1"/>
    <cellStyle name="Bad" xfId="2318" builtinId="27" hidden="1"/>
    <cellStyle name="Bad" xfId="2627" builtinId="27" hidden="1"/>
    <cellStyle name="Bad" xfId="2675" builtinId="27" hidden="1"/>
    <cellStyle name="Bad" xfId="2722" builtinId="27" hidden="1"/>
    <cellStyle name="Bad" xfId="2667" builtinId="27" hidden="1"/>
    <cellStyle name="Bad" xfId="2800" builtinId="27" hidden="1"/>
    <cellStyle name="Bad" xfId="2809" builtinId="27" hidden="1"/>
    <cellStyle name="Bad" xfId="2268" builtinId="27" hidden="1"/>
    <cellStyle name="Bad" xfId="2909" builtinId="27" hidden="1"/>
    <cellStyle name="Bad" xfId="2956" builtinId="27" hidden="1"/>
    <cellStyle name="Bad" xfId="3003" builtinId="27" hidden="1"/>
    <cellStyle name="Bad" xfId="2948" builtinId="27" hidden="1"/>
    <cellStyle name="Bad" xfId="3082" builtinId="27" hidden="1"/>
    <cellStyle name="Bad" xfId="3091" builtinId="27" hidden="1"/>
    <cellStyle name="Bad" xfId="2669" builtinId="27" hidden="1"/>
    <cellStyle name="Bad" xfId="3193" builtinId="27" hidden="1"/>
    <cellStyle name="Bad" xfId="3239" builtinId="27" hidden="1"/>
    <cellStyle name="Bad" xfId="3286" builtinId="27" hidden="1"/>
    <cellStyle name="Bad" xfId="3232" builtinId="27" hidden="1"/>
    <cellStyle name="Bad" xfId="3362" builtinId="27" hidden="1"/>
    <cellStyle name="Bad" xfId="3371" builtinId="27" hidden="1"/>
    <cellStyle name="Bad" xfId="3190" builtinId="27" hidden="1"/>
    <cellStyle name="Bad" xfId="3457" builtinId="27" hidden="1"/>
    <cellStyle name="Bad" xfId="3502" builtinId="27" hidden="1"/>
    <cellStyle name="Bad" xfId="3549" builtinId="27" hidden="1"/>
    <cellStyle name="Bad" xfId="3494" builtinId="27" hidden="1"/>
    <cellStyle name="Bad" xfId="3627" builtinId="27" hidden="1"/>
    <cellStyle name="Bad" xfId="3636" builtinId="27" hidden="1"/>
    <cellStyle name="Bad" xfId="3704" builtinId="27" hidden="1"/>
    <cellStyle name="Bad" xfId="3752" builtinId="27" hidden="1"/>
    <cellStyle name="Calc - Calculation Cell" xfId="20"/>
    <cellStyle name="Calc - Input Cell" xfId="1"/>
    <cellStyle name="Calc - Normal Text" xfId="53"/>
    <cellStyle name="Calc - References Cell" xfId="51"/>
    <cellStyle name="Calc - Units Cell" xfId="49"/>
    <cellStyle name="Calc - Variables Cell" xfId="50"/>
    <cellStyle name="Calculation" xfId="13" builtinId="22" hidden="1"/>
    <cellStyle name="Calculation" xfId="74" builtinId="22" hidden="1"/>
    <cellStyle name="Calculation" xfId="125" builtinId="22" hidden="1"/>
    <cellStyle name="Calculation" xfId="166" builtinId="22" hidden="1"/>
    <cellStyle name="Calculation" xfId="222" builtinId="22" hidden="1"/>
    <cellStyle name="Calculation" xfId="206" builtinId="22" hidden="1"/>
    <cellStyle name="Calculation" xfId="304" builtinId="22" hidden="1"/>
    <cellStyle name="Calculation" xfId="291" builtinId="22" hidden="1"/>
    <cellStyle name="Calculation" xfId="384" builtinId="22" hidden="1"/>
    <cellStyle name="Calculation" xfId="417" builtinId="22" hidden="1"/>
    <cellStyle name="Calculation" xfId="467" builtinId="22" hidden="1"/>
    <cellStyle name="Calculation" xfId="458" builtinId="22" hidden="1"/>
    <cellStyle name="Calculation" xfId="545" builtinId="22" hidden="1"/>
    <cellStyle name="Calculation" xfId="529" builtinId="22" hidden="1"/>
    <cellStyle name="Calculation" xfId="618" builtinId="22" hidden="1"/>
    <cellStyle name="Calculation" xfId="658" builtinId="22" hidden="1"/>
    <cellStyle name="Calculation" xfId="706" builtinId="22" hidden="1"/>
    <cellStyle name="Calculation" xfId="746" builtinId="22" hidden="1"/>
    <cellStyle name="Calculation" xfId="799" builtinId="22" hidden="1"/>
    <cellStyle name="Calculation" xfId="844" builtinId="22" hidden="1"/>
    <cellStyle name="Calculation" xfId="887" builtinId="22" hidden="1"/>
    <cellStyle name="Calculation" xfId="931" builtinId="22" hidden="1"/>
    <cellStyle name="Calculation" xfId="966" builtinId="22" hidden="1"/>
    <cellStyle name="Calculation" xfId="1016" builtinId="22" hidden="1"/>
    <cellStyle name="Calculation" xfId="1050" builtinId="22" hidden="1"/>
    <cellStyle name="Calculation" xfId="1065" builtinId="22" hidden="1"/>
    <cellStyle name="Calculation" xfId="1135" builtinId="22" hidden="1"/>
    <cellStyle name="Calculation" xfId="1184" builtinId="22" hidden="1"/>
    <cellStyle name="Calculation" xfId="1228" builtinId="22" hidden="1"/>
    <cellStyle name="Calculation" xfId="1270" builtinId="22" hidden="1"/>
    <cellStyle name="Calculation" xfId="1313" builtinId="22" hidden="1"/>
    <cellStyle name="Calculation" xfId="1348" builtinId="22" hidden="1"/>
    <cellStyle name="Calculation" xfId="1399" builtinId="22" hidden="1"/>
    <cellStyle name="Calculation" xfId="1433" builtinId="22" hidden="1"/>
    <cellStyle name="Calculation" xfId="1447" builtinId="22" hidden="1"/>
    <cellStyle name="Calculation" xfId="1514" builtinId="22" hidden="1"/>
    <cellStyle name="Calculation" xfId="1358" builtinId="22" hidden="1"/>
    <cellStyle name="Calculation" xfId="1564" builtinId="22" hidden="1"/>
    <cellStyle name="Calculation" xfId="1606" builtinId="22" hidden="1"/>
    <cellStyle name="Calculation" xfId="1649" builtinId="22" hidden="1"/>
    <cellStyle name="Calculation" xfId="1684" builtinId="22" hidden="1"/>
    <cellStyle name="Calculation" xfId="1734" builtinId="22" hidden="1"/>
    <cellStyle name="Calculation" xfId="1769" builtinId="22" hidden="1"/>
    <cellStyle name="Calculation" xfId="1785" builtinId="22" hidden="1"/>
    <cellStyle name="Calculation" xfId="1854" builtinId="22" hidden="1"/>
    <cellStyle name="Calculation" xfId="1861" builtinId="22" hidden="1"/>
    <cellStyle name="Calculation" xfId="1894" builtinId="22" hidden="1"/>
    <cellStyle name="Calculation" xfId="1934" builtinId="22" hidden="1"/>
    <cellStyle name="Calculation" xfId="1974" builtinId="22" hidden="1"/>
    <cellStyle name="Calculation" xfId="2007" builtinId="22" hidden="1"/>
    <cellStyle name="Calculation" xfId="2051" builtinId="22" hidden="1"/>
    <cellStyle name="Calculation" xfId="2084" builtinId="22" hidden="1"/>
    <cellStyle name="Calculation" xfId="2095" builtinId="22" hidden="1"/>
    <cellStyle name="Calculation" xfId="2159" builtinId="22" hidden="1"/>
    <cellStyle name="Calculation" xfId="833" builtinId="22" hidden="1"/>
    <cellStyle name="Calculation" xfId="2191" builtinId="22" hidden="1"/>
    <cellStyle name="Calculation" xfId="2201" builtinId="22" hidden="1"/>
    <cellStyle name="Calculation" xfId="2278" builtinId="22" hidden="1"/>
    <cellStyle name="Calculation" xfId="2334" builtinId="22" hidden="1"/>
    <cellStyle name="Calculation" xfId="2381" builtinId="22" hidden="1"/>
    <cellStyle name="Calculation" xfId="2419" builtinId="22" hidden="1"/>
    <cellStyle name="Calculation" xfId="2469" builtinId="22" hidden="1"/>
    <cellStyle name="Calculation" xfId="2498" builtinId="22" hidden="1"/>
    <cellStyle name="Calculation" xfId="2539" builtinId="22" hidden="1"/>
    <cellStyle name="Calculation" xfId="2316" builtinId="22" hidden="1"/>
    <cellStyle name="Calculation" xfId="2631" builtinId="22" hidden="1"/>
    <cellStyle name="Calculation" xfId="2679" builtinId="22" hidden="1"/>
    <cellStyle name="Calculation" xfId="2717" builtinId="22" hidden="1"/>
    <cellStyle name="Calculation" xfId="2766" builtinId="22" hidden="1"/>
    <cellStyle name="Calculation" xfId="2795" builtinId="22" hidden="1"/>
    <cellStyle name="Calculation" xfId="2836" builtinId="22" hidden="1"/>
    <cellStyle name="Calculation" xfId="2616" builtinId="22" hidden="1"/>
    <cellStyle name="Calculation" xfId="2913" builtinId="22" hidden="1"/>
    <cellStyle name="Calculation" xfId="2960" builtinId="22" hidden="1"/>
    <cellStyle name="Calculation" xfId="2998" builtinId="22" hidden="1"/>
    <cellStyle name="Calculation" xfId="3048" builtinId="22" hidden="1"/>
    <cellStyle name="Calculation" xfId="3077" builtinId="22" hidden="1"/>
    <cellStyle name="Calculation" xfId="3118" builtinId="22" hidden="1"/>
    <cellStyle name="Calculation" xfId="2901" builtinId="22" hidden="1"/>
    <cellStyle name="Calculation" xfId="3197" builtinId="22" hidden="1"/>
    <cellStyle name="Calculation" xfId="3243" builtinId="22" hidden="1"/>
    <cellStyle name="Calculation" xfId="3281" builtinId="22" hidden="1"/>
    <cellStyle name="Calculation" xfId="3328" builtinId="22" hidden="1"/>
    <cellStyle name="Calculation" xfId="3357" builtinId="22" hidden="1"/>
    <cellStyle name="Calculation" xfId="3398" builtinId="22" hidden="1"/>
    <cellStyle name="Calculation" xfId="2666" builtinId="22" hidden="1"/>
    <cellStyle name="Calculation" xfId="3461" builtinId="22" hidden="1"/>
    <cellStyle name="Calculation" xfId="3506" builtinId="22" hidden="1"/>
    <cellStyle name="Calculation" xfId="3544" builtinId="22" hidden="1"/>
    <cellStyle name="Calculation" xfId="3593" builtinId="22" hidden="1"/>
    <cellStyle name="Calculation" xfId="3622" builtinId="22" hidden="1"/>
    <cellStyle name="Calculation" xfId="3663" builtinId="22" hidden="1"/>
    <cellStyle name="Calculation" xfId="3708" builtinId="22" hidden="1"/>
    <cellStyle name="Calculation" xfId="3756" builtinId="22" hidden="1"/>
    <cellStyle name="Check Cell" xfId="15" builtinId="23" hidden="1"/>
    <cellStyle name="Check Cell" xfId="76" builtinId="23" hidden="1"/>
    <cellStyle name="Check Cell" xfId="127" builtinId="23" hidden="1"/>
    <cellStyle name="Check Cell" xfId="168" builtinId="23" hidden="1"/>
    <cellStyle name="Check Cell" xfId="224" builtinId="23" hidden="1"/>
    <cellStyle name="Check Cell" xfId="255" builtinId="23" hidden="1"/>
    <cellStyle name="Check Cell" xfId="306" builtinId="23" hidden="1"/>
    <cellStyle name="Check Cell" xfId="284" builtinId="23" hidden="1"/>
    <cellStyle name="Check Cell" xfId="386" builtinId="23" hidden="1"/>
    <cellStyle name="Check Cell" xfId="368" builtinId="23" hidden="1"/>
    <cellStyle name="Check Cell" xfId="469" builtinId="23" hidden="1"/>
    <cellStyle name="Check Cell" xfId="500" builtinId="23" hidden="1"/>
    <cellStyle name="Check Cell" xfId="547" builtinId="23" hidden="1"/>
    <cellStyle name="Check Cell" xfId="531" builtinId="23" hidden="1"/>
    <cellStyle name="Check Cell" xfId="620" builtinId="23" hidden="1"/>
    <cellStyle name="Check Cell" xfId="660" builtinId="23" hidden="1"/>
    <cellStyle name="Check Cell" xfId="708" builtinId="23" hidden="1"/>
    <cellStyle name="Check Cell" xfId="748" builtinId="23" hidden="1"/>
    <cellStyle name="Check Cell" xfId="801" builtinId="23" hidden="1"/>
    <cellStyle name="Check Cell" xfId="846" builtinId="23" hidden="1"/>
    <cellStyle name="Check Cell" xfId="889" builtinId="23" hidden="1"/>
    <cellStyle name="Check Cell" xfId="933" builtinId="23" hidden="1"/>
    <cellStyle name="Check Cell" xfId="969" builtinId="23" hidden="1"/>
    <cellStyle name="Check Cell" xfId="1018" builtinId="23" hidden="1"/>
    <cellStyle name="Check Cell" xfId="1053" builtinId="23" hidden="1"/>
    <cellStyle name="Check Cell" xfId="1098" builtinId="23" hidden="1"/>
    <cellStyle name="Check Cell" xfId="1137" builtinId="23" hidden="1"/>
    <cellStyle name="Check Cell" xfId="1186" builtinId="23" hidden="1"/>
    <cellStyle name="Check Cell" xfId="1230" builtinId="23" hidden="1"/>
    <cellStyle name="Check Cell" xfId="1272" builtinId="23" hidden="1"/>
    <cellStyle name="Check Cell" xfId="1315" builtinId="23" hidden="1"/>
    <cellStyle name="Check Cell" xfId="1351" builtinId="23" hidden="1"/>
    <cellStyle name="Check Cell" xfId="1401" builtinId="23" hidden="1"/>
    <cellStyle name="Check Cell" xfId="1436" builtinId="23" hidden="1"/>
    <cellStyle name="Check Cell" xfId="1480" builtinId="23" hidden="1"/>
    <cellStyle name="Check Cell" xfId="1516" builtinId="23" hidden="1"/>
    <cellStyle name="Check Cell" xfId="1320" builtinId="23" hidden="1"/>
    <cellStyle name="Check Cell" xfId="1566" builtinId="23" hidden="1"/>
    <cellStyle name="Check Cell" xfId="1608" builtinId="23" hidden="1"/>
    <cellStyle name="Check Cell" xfId="1651" builtinId="23" hidden="1"/>
    <cellStyle name="Check Cell" xfId="1687" builtinId="23" hidden="1"/>
    <cellStyle name="Check Cell" xfId="1736" builtinId="23" hidden="1"/>
    <cellStyle name="Check Cell" xfId="1772" builtinId="23" hidden="1"/>
    <cellStyle name="Check Cell" xfId="1817" builtinId="23" hidden="1"/>
    <cellStyle name="Check Cell" xfId="1856" builtinId="23" hidden="1"/>
    <cellStyle name="Check Cell" xfId="1847" builtinId="23" hidden="1"/>
    <cellStyle name="Check Cell" xfId="1896" builtinId="23" hidden="1"/>
    <cellStyle name="Check Cell" xfId="1936" builtinId="23" hidden="1"/>
    <cellStyle name="Check Cell" xfId="1976" builtinId="23" hidden="1"/>
    <cellStyle name="Check Cell" xfId="2010" builtinId="23" hidden="1"/>
    <cellStyle name="Check Cell" xfId="2053" builtinId="23" hidden="1"/>
    <cellStyle name="Check Cell" xfId="2087" builtinId="23" hidden="1"/>
    <cellStyle name="Check Cell" xfId="2126" builtinId="23" hidden="1"/>
    <cellStyle name="Check Cell" xfId="2161" builtinId="23" hidden="1"/>
    <cellStyle name="Check Cell" xfId="1168" builtinId="23" hidden="1"/>
    <cellStyle name="Check Cell" xfId="2193" builtinId="23" hidden="1"/>
    <cellStyle name="Check Cell" xfId="2230" builtinId="23" hidden="1"/>
    <cellStyle name="Check Cell" xfId="2280" builtinId="23" hidden="1"/>
    <cellStyle name="Check Cell" xfId="2336" builtinId="23" hidden="1"/>
    <cellStyle name="Check Cell" xfId="2383" builtinId="23" hidden="1"/>
    <cellStyle name="Check Cell" xfId="2370" builtinId="23" hidden="1"/>
    <cellStyle name="Check Cell" xfId="2433" builtinId="23" hidden="1"/>
    <cellStyle name="Check Cell" xfId="2501" builtinId="23" hidden="1"/>
    <cellStyle name="Check Cell" xfId="2540" builtinId="23" hidden="1"/>
    <cellStyle name="Check Cell" xfId="2285" builtinId="23" hidden="1"/>
    <cellStyle name="Check Cell" xfId="2633" builtinId="23" hidden="1"/>
    <cellStyle name="Check Cell" xfId="2681" builtinId="23" hidden="1"/>
    <cellStyle name="Check Cell" xfId="2668" builtinId="23" hidden="1"/>
    <cellStyle name="Check Cell" xfId="2731" builtinId="23" hidden="1"/>
    <cellStyle name="Check Cell" xfId="2798" builtinId="23" hidden="1"/>
    <cellStyle name="Check Cell" xfId="2837" builtinId="23" hidden="1"/>
    <cellStyle name="Check Cell" xfId="2689" builtinId="23" hidden="1"/>
    <cellStyle name="Check Cell" xfId="2915" builtinId="23" hidden="1"/>
    <cellStyle name="Check Cell" xfId="2962" builtinId="23" hidden="1"/>
    <cellStyle name="Check Cell" xfId="2949" builtinId="23" hidden="1"/>
    <cellStyle name="Check Cell" xfId="3012" builtinId="23" hidden="1"/>
    <cellStyle name="Check Cell" xfId="3080" builtinId="23" hidden="1"/>
    <cellStyle name="Check Cell" xfId="3119" builtinId="23" hidden="1"/>
    <cellStyle name="Check Cell" xfId="3006" builtinId="23" hidden="1"/>
    <cellStyle name="Check Cell" xfId="3199" builtinId="23" hidden="1"/>
    <cellStyle name="Check Cell" xfId="3245" builtinId="23" hidden="1"/>
    <cellStyle name="Check Cell" xfId="3233" builtinId="23" hidden="1"/>
    <cellStyle name="Check Cell" xfId="3293" builtinId="23" hidden="1"/>
    <cellStyle name="Check Cell" xfId="3360" builtinId="23" hidden="1"/>
    <cellStyle name="Check Cell" xfId="3399" builtinId="23" hidden="1"/>
    <cellStyle name="Check Cell" xfId="3331" builtinId="23" hidden="1"/>
    <cellStyle name="Check Cell" xfId="3463" builtinId="23" hidden="1"/>
    <cellStyle name="Check Cell" xfId="3508" builtinId="23" hidden="1"/>
    <cellStyle name="Check Cell" xfId="3495" builtinId="23" hidden="1"/>
    <cellStyle name="Check Cell" xfId="3557" builtinId="23" hidden="1"/>
    <cellStyle name="Check Cell" xfId="3625" builtinId="23" hidden="1"/>
    <cellStyle name="Check Cell" xfId="3664" builtinId="23" hidden="1"/>
    <cellStyle name="Check Cell" xfId="3710" builtinId="23" hidden="1"/>
    <cellStyle name="Check Cell" xfId="3758" builtinId="23" hidden="1"/>
    <cellStyle name="Comma" xfId="21" builtinId="3" hidden="1"/>
    <cellStyle name="Comma" xfId="55" builtinId="3" hidden="1"/>
    <cellStyle name="Comma" xfId="59" builtinId="3" hidden="1" customBuiltin="1"/>
    <cellStyle name="Comma" xfId="116" builtinId="3" customBuiltin="1"/>
    <cellStyle name="Comma [0]" xfId="22" builtinId="6" hidden="1"/>
    <cellStyle name="Comma [0]" xfId="83" builtinId="6" hidden="1"/>
    <cellStyle name="Comma [0]" xfId="132" builtinId="6" hidden="1"/>
    <cellStyle name="Comma [0]" xfId="175" builtinId="6" hidden="1"/>
    <cellStyle name="Comma [0]" xfId="229" builtinId="6" hidden="1"/>
    <cellStyle name="Comma [0]" xfId="257" builtinId="6" hidden="1"/>
    <cellStyle name="Comma [0]" xfId="311" builtinId="6" hidden="1"/>
    <cellStyle name="Comma [0]" xfId="340" builtinId="6" hidden="1"/>
    <cellStyle name="Comma [0]" xfId="391" builtinId="6" hidden="1"/>
    <cellStyle name="Comma [0]" xfId="421" builtinId="6" hidden="1"/>
    <cellStyle name="Comma [0]" xfId="474" builtinId="6" hidden="1"/>
    <cellStyle name="Comma [0]" xfId="502" builtinId="6" hidden="1"/>
    <cellStyle name="Comma [0]" xfId="552" builtinId="6" hidden="1"/>
    <cellStyle name="Comma [0]" xfId="582" builtinId="6" hidden="1"/>
    <cellStyle name="Comma [0]" xfId="625" builtinId="6" hidden="1"/>
    <cellStyle name="Comma [0]" xfId="666" builtinId="6" hidden="1"/>
    <cellStyle name="Comma [0]" xfId="713" builtinId="6" hidden="1"/>
    <cellStyle name="Comma [0]" xfId="754" builtinId="6" hidden="1"/>
    <cellStyle name="Comma [0]" xfId="829" builtinId="6" hidden="1"/>
    <cellStyle name="Comma [0]" xfId="2200" builtinId="6" hidden="1"/>
    <cellStyle name="Comma [0]" xfId="2198" builtinId="6" hidden="1"/>
    <cellStyle name="Comma [0]" xfId="2287" builtinId="6" hidden="1"/>
    <cellStyle name="Comma [0]" xfId="2341" builtinId="6" hidden="1"/>
    <cellStyle name="Comma [0]" xfId="2390" builtinId="6" hidden="1"/>
    <cellStyle name="Comma [0]" xfId="2434" builtinId="6" hidden="1"/>
    <cellStyle name="Comma [0]" xfId="2471" builtinId="6" hidden="1"/>
    <cellStyle name="Comma [0]" xfId="2511" builtinId="6" hidden="1"/>
    <cellStyle name="Comma [0]" xfId="2549" builtinId="6" hidden="1"/>
    <cellStyle name="Comma [0]" xfId="2584" builtinId="6" hidden="1"/>
    <cellStyle name="Comma [0]" xfId="2638" builtinId="6" hidden="1"/>
    <cellStyle name="Comma [0]" xfId="2688" builtinId="6" hidden="1"/>
    <cellStyle name="Comma [0]" xfId="2732" builtinId="6" hidden="1"/>
    <cellStyle name="Comma [0]" xfId="2768" builtinId="6" hidden="1"/>
    <cellStyle name="Comma [0]" xfId="2808" builtinId="6" hidden="1"/>
    <cellStyle name="Comma [0]" xfId="2846" builtinId="6" hidden="1"/>
    <cellStyle name="Comma [0]" xfId="2622" builtinId="6" hidden="1"/>
    <cellStyle name="Comma [0]" xfId="2920" builtinId="6" hidden="1"/>
    <cellStyle name="Comma [0]" xfId="2969" builtinId="6" hidden="1"/>
    <cellStyle name="Comma [0]" xfId="3013" builtinId="6" hidden="1"/>
    <cellStyle name="Comma [0]" xfId="3050" builtinId="6" hidden="1"/>
    <cellStyle name="Comma [0]" xfId="3090" builtinId="6" hidden="1"/>
    <cellStyle name="Comma [0]" xfId="3128" builtinId="6" hidden="1"/>
    <cellStyle name="Comma [0]" xfId="2894" builtinId="6" hidden="1"/>
    <cellStyle name="Comma [0]" xfId="3204" builtinId="6" hidden="1"/>
    <cellStyle name="Comma [0]" xfId="3252" builtinId="6" hidden="1"/>
    <cellStyle name="Comma [0]" xfId="3294" builtinId="6" hidden="1"/>
    <cellStyle name="Comma [0]" xfId="3330" builtinId="6" hidden="1"/>
    <cellStyle name="Comma [0]" xfId="3370" builtinId="6" hidden="1"/>
    <cellStyle name="Comma [0]" xfId="3408" builtinId="6" hidden="1"/>
    <cellStyle name="Comma [0]" xfId="3251" builtinId="6" hidden="1"/>
    <cellStyle name="Comma [0]" xfId="3468" builtinId="6" hidden="1"/>
    <cellStyle name="Comma [0]" xfId="3515" builtinId="6" hidden="1"/>
    <cellStyle name="Comma [0]" xfId="3558" builtinId="6" hidden="1"/>
    <cellStyle name="Comma [0]" xfId="3595" builtinId="6" hidden="1"/>
    <cellStyle name="Comma [0]" xfId="3635" builtinId="6" hidden="1"/>
    <cellStyle name="Comma [0]" xfId="3673" builtinId="6" hidden="1"/>
    <cellStyle name="Comma [0]" xfId="3716" builtinId="6" hidden="1"/>
    <cellStyle name="Comma [0]" xfId="3763" builtinId="6" hidden="1"/>
    <cellStyle name="Comma [0] 4" xfId="852" hidden="1"/>
    <cellStyle name="Comma [0] 4" xfId="939" hidden="1"/>
    <cellStyle name="Comma [0] 4" xfId="1023" hidden="1"/>
    <cellStyle name="Comma [0] 4" xfId="1100" hidden="1"/>
    <cellStyle name="Comma [0] 4" xfId="1236" hidden="1"/>
    <cellStyle name="Comma [0] 4" xfId="1321" hidden="1"/>
    <cellStyle name="Comma [0] 4" xfId="1407" hidden="1"/>
    <cellStyle name="Comma [0] 4" xfId="1481" hidden="1"/>
    <cellStyle name="Comma [0] 4" xfId="1571" hidden="1"/>
    <cellStyle name="Comma [0] 4" xfId="1657" hidden="1"/>
    <cellStyle name="Comma [0] 4" xfId="1742" hidden="1"/>
    <cellStyle name="Comma [0] 4" xfId="1819" hidden="1"/>
    <cellStyle name="Comma [0] 4" xfId="1901" hidden="1"/>
    <cellStyle name="Comma [0] 4" xfId="1981" hidden="1"/>
    <cellStyle name="Comma [0] 4" xfId="2058" hidden="1"/>
    <cellStyle name="Comma [0] 4" xfId="2127" hidden="1"/>
    <cellStyle name="Comma 10" xfId="783"/>
    <cellStyle name="Comma 11" xfId="2325"/>
    <cellStyle name="Comma 12" xfId="665"/>
    <cellStyle name="Comma 13" xfId="693"/>
    <cellStyle name="Comma 14" xfId="697"/>
    <cellStyle name="Comma 2" xfId="82" hidden="1"/>
    <cellStyle name="Comma 2" xfId="209" hidden="1"/>
    <cellStyle name="Comma 2" xfId="256" hidden="1"/>
    <cellStyle name="Comma 2" xfId="372" hidden="1"/>
    <cellStyle name="Comma 2" xfId="420" hidden="1"/>
    <cellStyle name="Comma 2" xfId="533" hidden="1"/>
    <cellStyle name="Comma 2" xfId="581"/>
    <cellStyle name="Comma 2 2" xfId="2389" hidden="1"/>
    <cellStyle name="Comma 2 2" xfId="2845" hidden="1"/>
    <cellStyle name="Comma 2 2" xfId="2968" hidden="1"/>
    <cellStyle name="Comma 2 2" xfId="3407" hidden="1"/>
    <cellStyle name="Comma 2 2" xfId="3514"/>
    <cellStyle name="Comma 2 3" xfId="2432" hidden="1"/>
    <cellStyle name="Comma 2 3" xfId="3011" hidden="1"/>
    <cellStyle name="Comma 2 3" xfId="3556"/>
    <cellStyle name="Comma 2 4" xfId="2548" hidden="1"/>
    <cellStyle name="Comma 2 4" xfId="3127" hidden="1"/>
    <cellStyle name="Comma 2 4" xfId="3672"/>
    <cellStyle name="Comma 2 5" xfId="1927"/>
    <cellStyle name="Comma 2 6" xfId="1095"/>
    <cellStyle name="Comma 3" xfId="113" hidden="1"/>
    <cellStyle name="Comma 3" xfId="288" hidden="1"/>
    <cellStyle name="Comma 3" xfId="451" hidden="1"/>
    <cellStyle name="Comma 3" xfId="609" hidden="1"/>
    <cellStyle name="Comma 3" xfId="781" hidden="1"/>
    <cellStyle name="Comma 3" xfId="2261" hidden="1"/>
    <cellStyle name="Comma 3" xfId="2423" hidden="1"/>
    <cellStyle name="Comma 3" xfId="2502" hidden="1"/>
    <cellStyle name="Comma 3" xfId="2576" hidden="1"/>
    <cellStyle name="Comma 3" xfId="2721" hidden="1"/>
    <cellStyle name="Comma 3" xfId="2799" hidden="1"/>
    <cellStyle name="Comma 3" xfId="2873" hidden="1"/>
    <cellStyle name="Comma 3" xfId="3002" hidden="1"/>
    <cellStyle name="Comma 3" xfId="3081" hidden="1"/>
    <cellStyle name="Comma 3" xfId="3155" hidden="1"/>
    <cellStyle name="Comma 3" xfId="3285" hidden="1"/>
    <cellStyle name="Comma 3" xfId="3361" hidden="1"/>
    <cellStyle name="Comma 3" xfId="3435" hidden="1"/>
    <cellStyle name="Comma 3" xfId="3548" hidden="1"/>
    <cellStyle name="Comma 3" xfId="3626" hidden="1"/>
    <cellStyle name="Comma 3" xfId="3700" hidden="1"/>
    <cellStyle name="Comma 3" xfId="3715"/>
    <cellStyle name="Comma 4" xfId="2262"/>
    <cellStyle name="Comma 4 2" xfId="2427"/>
    <cellStyle name="Comma 5" xfId="2286"/>
    <cellStyle name="Comma 6" xfId="2618" hidden="1"/>
    <cellStyle name="Comma 6" xfId="3186" hidden="1"/>
    <cellStyle name="Comma 6" xfId="3743"/>
    <cellStyle name="Comma 7" xfId="3747"/>
    <cellStyle name="Comma 8" xfId="753"/>
    <cellStyle name="Comma 9" xfId="782"/>
    <cellStyle name="Currency" xfId="23" builtinId="4" hidden="1"/>
    <cellStyle name="Currency" xfId="60" builtinId="4" hidden="1"/>
    <cellStyle name="Currency" xfId="114" builtinId="4" customBuiltin="1"/>
    <cellStyle name="Currency [0]" xfId="24" builtinId="7" hidden="1"/>
    <cellStyle name="Currency [0]" xfId="85" builtinId="7" hidden="1"/>
    <cellStyle name="Currency [0]" xfId="133" builtinId="7" hidden="1"/>
    <cellStyle name="Currency [0]" xfId="177" builtinId="7" hidden="1"/>
    <cellStyle name="Currency [0]" xfId="230" builtinId="7" hidden="1"/>
    <cellStyle name="Currency [0]" xfId="259" builtinId="7" hidden="1"/>
    <cellStyle name="Currency [0]" xfId="312" builtinId="7" hidden="1"/>
    <cellStyle name="Currency [0]" xfId="342" builtinId="7" hidden="1"/>
    <cellStyle name="Currency [0]" xfId="392" builtinId="7" hidden="1"/>
    <cellStyle name="Currency [0]" xfId="423" builtinId="7" hidden="1"/>
    <cellStyle name="Currency [0]" xfId="475" builtinId="7" hidden="1"/>
    <cellStyle name="Currency [0]" xfId="504" builtinId="7" hidden="1"/>
    <cellStyle name="Currency [0]" xfId="553" builtinId="7" hidden="1"/>
    <cellStyle name="Currency [0]" xfId="584" builtinId="7" hidden="1"/>
    <cellStyle name="Currency [0]" xfId="626" builtinId="7" hidden="1"/>
    <cellStyle name="Currency [0]" xfId="668" builtinId="7" hidden="1"/>
    <cellStyle name="Currency [0]" xfId="714" builtinId="7" hidden="1"/>
    <cellStyle name="Currency [0]" xfId="756" builtinId="7" hidden="1"/>
    <cellStyle name="Currency [0]" xfId="918" builtinId="7" hidden="1"/>
    <cellStyle name="Currency [0]" xfId="2202" builtinId="7" hidden="1"/>
    <cellStyle name="Currency [0]" xfId="2236" builtinId="7" hidden="1"/>
    <cellStyle name="Currency [0]" xfId="2289" builtinId="7" hidden="1"/>
    <cellStyle name="Currency [0]" xfId="2342" builtinId="7" hidden="1"/>
    <cellStyle name="Currency [0]" xfId="2392" builtinId="7" hidden="1"/>
    <cellStyle name="Currency [0]" xfId="2436" builtinId="7" hidden="1"/>
    <cellStyle name="Currency [0]" xfId="2473" builtinId="7" hidden="1"/>
    <cellStyle name="Currency [0]" xfId="2513" builtinId="7" hidden="1"/>
    <cellStyle name="Currency [0]" xfId="2551" builtinId="7" hidden="1"/>
    <cellStyle name="Currency [0]" xfId="2586" builtinId="7" hidden="1"/>
    <cellStyle name="Currency [0]" xfId="2639" builtinId="7" hidden="1"/>
    <cellStyle name="Currency [0]" xfId="2690" builtinId="7" hidden="1"/>
    <cellStyle name="Currency [0]" xfId="2734" builtinId="7" hidden="1"/>
    <cellStyle name="Currency [0]" xfId="2770" builtinId="7" hidden="1"/>
    <cellStyle name="Currency [0]" xfId="2810" builtinId="7" hidden="1"/>
    <cellStyle name="Currency [0]" xfId="2848" builtinId="7" hidden="1"/>
    <cellStyle name="Currency [0]" xfId="2583" builtinId="7" hidden="1"/>
    <cellStyle name="Currency [0]" xfId="2921" builtinId="7" hidden="1"/>
    <cellStyle name="Currency [0]" xfId="2971" builtinId="7" hidden="1"/>
    <cellStyle name="Currency [0]" xfId="3015" builtinId="7" hidden="1"/>
    <cellStyle name="Currency [0]" xfId="3052" builtinId="7" hidden="1"/>
    <cellStyle name="Currency [0]" xfId="3092" builtinId="7" hidden="1"/>
    <cellStyle name="Currency [0]" xfId="3130" builtinId="7" hidden="1"/>
    <cellStyle name="Currency [0]" xfId="2617" builtinId="7" hidden="1"/>
    <cellStyle name="Currency [0]" xfId="3205" builtinId="7" hidden="1"/>
    <cellStyle name="Currency [0]" xfId="3254" builtinId="7" hidden="1"/>
    <cellStyle name="Currency [0]" xfId="3296" builtinId="7" hidden="1"/>
    <cellStyle name="Currency [0]" xfId="3332" builtinId="7" hidden="1"/>
    <cellStyle name="Currency [0]" xfId="3372" builtinId="7" hidden="1"/>
    <cellStyle name="Currency [0]" xfId="3410" builtinId="7" hidden="1"/>
    <cellStyle name="Currency [0]" xfId="3184" builtinId="7" hidden="1"/>
    <cellStyle name="Currency [0]" xfId="3469" builtinId="7" hidden="1"/>
    <cellStyle name="Currency [0]" xfId="3517" builtinId="7" hidden="1"/>
    <cellStyle name="Currency [0]" xfId="3560" builtinId="7" hidden="1"/>
    <cellStyle name="Currency [0]" xfId="3597" builtinId="7" hidden="1"/>
    <cellStyle name="Currency [0]" xfId="3637" builtinId="7" hidden="1"/>
    <cellStyle name="Currency [0]" xfId="3675" builtinId="7" hidden="1"/>
    <cellStyle name="Currency [0]" xfId="3718" builtinId="7" hidden="1"/>
    <cellStyle name="Currency [0]" xfId="3764" builtinId="7" hidden="1"/>
    <cellStyle name="Currency [0] 4" xfId="854" hidden="1"/>
    <cellStyle name="Currency [0] 4" xfId="941" hidden="1"/>
    <cellStyle name="Currency [0] 4" xfId="1025" hidden="1"/>
    <cellStyle name="Currency [0] 4" xfId="1102" hidden="1"/>
    <cellStyle name="Currency [0] 4" xfId="1237" hidden="1"/>
    <cellStyle name="Currency [0] 4" xfId="1323" hidden="1"/>
    <cellStyle name="Currency [0] 4" xfId="1408" hidden="1"/>
    <cellStyle name="Currency [0] 4" xfId="1482" hidden="1"/>
    <cellStyle name="Currency [0] 4" xfId="1573" hidden="1"/>
    <cellStyle name="Currency [0] 4" xfId="1659" hidden="1"/>
    <cellStyle name="Currency [0] 4" xfId="1744" hidden="1"/>
    <cellStyle name="Currency [0] 4" xfId="1821" hidden="1"/>
    <cellStyle name="Currency [0] 4" xfId="1902" hidden="1"/>
    <cellStyle name="Currency [0] 4" xfId="1982" hidden="1"/>
    <cellStyle name="Currency [0] 4" xfId="2059" hidden="1"/>
    <cellStyle name="Currency [0] 4" xfId="2128" hidden="1"/>
    <cellStyle name="Currency 10" xfId="2323"/>
    <cellStyle name="Currency 11" xfId="667"/>
    <cellStyle name="Currency 12" xfId="694"/>
    <cellStyle name="Currency 13" xfId="695"/>
    <cellStyle name="Currency 2" xfId="84" hidden="1"/>
    <cellStyle name="Currency 2" xfId="210" hidden="1"/>
    <cellStyle name="Currency 2" xfId="258" hidden="1"/>
    <cellStyle name="Currency 2" xfId="373" hidden="1"/>
    <cellStyle name="Currency 2" xfId="422" hidden="1"/>
    <cellStyle name="Currency 2" xfId="534" hidden="1"/>
    <cellStyle name="Currency 2" xfId="583"/>
    <cellStyle name="Currency 2 2" xfId="2368"/>
    <cellStyle name="Currency 2 3" xfId="893"/>
    <cellStyle name="Currency 2 4" xfId="2235"/>
    <cellStyle name="Currency 3" xfId="2263"/>
    <cellStyle name="Currency 3 2" xfId="2391" hidden="1"/>
    <cellStyle name="Currency 3 2" xfId="2847" hidden="1"/>
    <cellStyle name="Currency 3 2" xfId="2970" hidden="1"/>
    <cellStyle name="Currency 3 2" xfId="3409" hidden="1"/>
    <cellStyle name="Currency 3 2" xfId="3516"/>
    <cellStyle name="Currency 3 3" xfId="2472" hidden="1"/>
    <cellStyle name="Currency 3 3" xfId="3051" hidden="1"/>
    <cellStyle name="Currency 3 3" xfId="3596"/>
    <cellStyle name="Currency 3 4" xfId="2550" hidden="1"/>
    <cellStyle name="Currency 3 4" xfId="3129" hidden="1"/>
    <cellStyle name="Currency 3 4" xfId="3674"/>
    <cellStyle name="Currency 4" xfId="2619" hidden="1"/>
    <cellStyle name="Currency 4" xfId="3187" hidden="1"/>
    <cellStyle name="Currency 4" xfId="3717"/>
    <cellStyle name="Currency 5" xfId="3744"/>
    <cellStyle name="Currency 6" xfId="3745"/>
    <cellStyle name="Currency 7" xfId="755"/>
    <cellStyle name="Currency 8" xfId="2288"/>
    <cellStyle name="Currency 9" xfId="2322"/>
    <cellStyle name="EEC Input" xfId="56"/>
    <cellStyle name="Explanatory Text" xfId="18" builtinId="53" hidden="1"/>
    <cellStyle name="Explanatory Text" xfId="79" builtinId="53" hidden="1"/>
    <cellStyle name="Explanatory Text" xfId="130" builtinId="53" hidden="1"/>
    <cellStyle name="Explanatory Text" xfId="171" builtinId="53" hidden="1"/>
    <cellStyle name="Explanatory Text" xfId="227" builtinId="53" hidden="1"/>
    <cellStyle name="Explanatory Text" xfId="204" builtinId="53" hidden="1"/>
    <cellStyle name="Explanatory Text" xfId="309" builtinId="53" hidden="1"/>
    <cellStyle name="Explanatory Text" xfId="208" builtinId="53" hidden="1"/>
    <cellStyle name="Explanatory Text" xfId="389" builtinId="53" hidden="1"/>
    <cellStyle name="Explanatory Text" xfId="338" builtinId="53" hidden="1"/>
    <cellStyle name="Explanatory Text" xfId="472" builtinId="53" hidden="1"/>
    <cellStyle name="Explanatory Text" xfId="450" builtinId="53" hidden="1"/>
    <cellStyle name="Explanatory Text" xfId="550" builtinId="53" hidden="1"/>
    <cellStyle name="Explanatory Text" xfId="579" builtinId="53" hidden="1"/>
    <cellStyle name="Explanatory Text" xfId="623" builtinId="53" hidden="1"/>
    <cellStyle name="Explanatory Text" xfId="663" builtinId="53" hidden="1"/>
    <cellStyle name="Explanatory Text" xfId="711" builtinId="53" hidden="1"/>
    <cellStyle name="Explanatory Text" xfId="751" builtinId="53" hidden="1"/>
    <cellStyle name="Explanatory Text" xfId="803" builtinId="53" hidden="1"/>
    <cellStyle name="Explanatory Text" xfId="849" builtinId="53" hidden="1"/>
    <cellStyle name="Explanatory Text" xfId="891" builtinId="53" hidden="1"/>
    <cellStyle name="Explanatory Text" xfId="936" builtinId="53" hidden="1"/>
    <cellStyle name="Explanatory Text" xfId="973" builtinId="53" hidden="1"/>
    <cellStyle name="Explanatory Text" xfId="1021" builtinId="53" hidden="1"/>
    <cellStyle name="Explanatory Text" xfId="1060" builtinId="53" hidden="1"/>
    <cellStyle name="Explanatory Text" xfId="1092" builtinId="53" hidden="1"/>
    <cellStyle name="Explanatory Text" xfId="1139" builtinId="53" hidden="1"/>
    <cellStyle name="Explanatory Text" xfId="1188" builtinId="53" hidden="1"/>
    <cellStyle name="Explanatory Text" xfId="1233" builtinId="53" hidden="1"/>
    <cellStyle name="Explanatory Text" xfId="1274" builtinId="53" hidden="1"/>
    <cellStyle name="Explanatory Text" xfId="1318" builtinId="53" hidden="1"/>
    <cellStyle name="Explanatory Text" xfId="1356" builtinId="53" hidden="1"/>
    <cellStyle name="Explanatory Text" xfId="1404" builtinId="53" hidden="1"/>
    <cellStyle name="Explanatory Text" xfId="1442" builtinId="53" hidden="1"/>
    <cellStyle name="Explanatory Text" xfId="1474" builtinId="53" hidden="1"/>
    <cellStyle name="Explanatory Text" xfId="1518" builtinId="53" hidden="1"/>
    <cellStyle name="Explanatory Text" xfId="1276" builtinId="53" hidden="1"/>
    <cellStyle name="Explanatory Text" xfId="1569" builtinId="53" hidden="1"/>
    <cellStyle name="Explanatory Text" xfId="1610" builtinId="53" hidden="1"/>
    <cellStyle name="Explanatory Text" xfId="1654" builtinId="53" hidden="1"/>
    <cellStyle name="Explanatory Text" xfId="1692" builtinId="53" hidden="1"/>
    <cellStyle name="Explanatory Text" xfId="1739" builtinId="53" hidden="1"/>
    <cellStyle name="Explanatory Text" xfId="1779" builtinId="53" hidden="1"/>
    <cellStyle name="Explanatory Text" xfId="1812" builtinId="53" hidden="1"/>
    <cellStyle name="Explanatory Text" xfId="1858" builtinId="53" hidden="1"/>
    <cellStyle name="Explanatory Text" xfId="1818" builtinId="53" hidden="1"/>
    <cellStyle name="Explanatory Text" xfId="1899" builtinId="53" hidden="1"/>
    <cellStyle name="Explanatory Text" xfId="1938" builtinId="53" hidden="1"/>
    <cellStyle name="Explanatory Text" xfId="1979" builtinId="53" hidden="1"/>
    <cellStyle name="Explanatory Text" xfId="2013" builtinId="53" hidden="1"/>
    <cellStyle name="Explanatory Text" xfId="2056" builtinId="53" hidden="1"/>
    <cellStyle name="Explanatory Text" xfId="2092" builtinId="53" hidden="1"/>
    <cellStyle name="Explanatory Text" xfId="2122" builtinId="53" hidden="1"/>
    <cellStyle name="Explanatory Text" xfId="2163" builtinId="53" hidden="1"/>
    <cellStyle name="Explanatory Text" xfId="1598" builtinId="53" hidden="1"/>
    <cellStyle name="Explanatory Text" xfId="2196" builtinId="53" hidden="1"/>
    <cellStyle name="Explanatory Text" xfId="2227" builtinId="53" hidden="1"/>
    <cellStyle name="Explanatory Text" xfId="2283" builtinId="53" hidden="1"/>
    <cellStyle name="Explanatory Text" xfId="2339" builtinId="53" hidden="1"/>
    <cellStyle name="Explanatory Text" xfId="2386" builtinId="53" hidden="1"/>
    <cellStyle name="Explanatory Text" xfId="2430" builtinId="53" hidden="1"/>
    <cellStyle name="Explanatory Text" xfId="2463" builtinId="53" hidden="1"/>
    <cellStyle name="Explanatory Text" xfId="2507" builtinId="53" hidden="1"/>
    <cellStyle name="Explanatory Text" xfId="2509" builtinId="53" hidden="1"/>
    <cellStyle name="Explanatory Text" xfId="2580" builtinId="53" hidden="1"/>
    <cellStyle name="Explanatory Text" xfId="2636" builtinId="53" hidden="1"/>
    <cellStyle name="Explanatory Text" xfId="2684" builtinId="53" hidden="1"/>
    <cellStyle name="Explanatory Text" xfId="2728" builtinId="53" hidden="1"/>
    <cellStyle name="Explanatory Text" xfId="2761" builtinId="53" hidden="1"/>
    <cellStyle name="Explanatory Text" xfId="2804" builtinId="53" hidden="1"/>
    <cellStyle name="Explanatory Text" xfId="2806" builtinId="53" hidden="1"/>
    <cellStyle name="Explanatory Text" xfId="2585" builtinId="53" hidden="1"/>
    <cellStyle name="Explanatory Text" xfId="2918" builtinId="53" hidden="1"/>
    <cellStyle name="Explanatory Text" xfId="2965" builtinId="53" hidden="1"/>
    <cellStyle name="Explanatory Text" xfId="3009" builtinId="53" hidden="1"/>
    <cellStyle name="Explanatory Text" xfId="3042" builtinId="53" hidden="1"/>
    <cellStyle name="Explanatory Text" xfId="3086" builtinId="53" hidden="1"/>
    <cellStyle name="Explanatory Text" xfId="3088" builtinId="53" hidden="1"/>
    <cellStyle name="Explanatory Text" xfId="2897" builtinId="53" hidden="1"/>
    <cellStyle name="Explanatory Text" xfId="3202" builtinId="53" hidden="1"/>
    <cellStyle name="Explanatory Text" xfId="3248" builtinId="53" hidden="1"/>
    <cellStyle name="Explanatory Text" xfId="3291" builtinId="53" hidden="1"/>
    <cellStyle name="Explanatory Text" xfId="3323" builtinId="53" hidden="1"/>
    <cellStyle name="Explanatory Text" xfId="3366" builtinId="53" hidden="1"/>
    <cellStyle name="Explanatory Text" xfId="3368" builtinId="53" hidden="1"/>
    <cellStyle name="Explanatory Text" xfId="3188" builtinId="53" hidden="1"/>
    <cellStyle name="Explanatory Text" xfId="3466" builtinId="53" hidden="1"/>
    <cellStyle name="Explanatory Text" xfId="3511" builtinId="53" hidden="1"/>
    <cellStyle name="Explanatory Text" xfId="3554" builtinId="53" hidden="1"/>
    <cellStyle name="Explanatory Text" xfId="3587" builtinId="53" hidden="1"/>
    <cellStyle name="Explanatory Text" xfId="3631" builtinId="53" hidden="1"/>
    <cellStyle name="Explanatory Text" xfId="3633" builtinId="53" hidden="1"/>
    <cellStyle name="Explanatory Text" xfId="3713" builtinId="53" hidden="1"/>
    <cellStyle name="Explanatory Text" xfId="3761" builtinId="53" hidden="1"/>
    <cellStyle name="Followed Hyperlink" xfId="117" builtinId="9" hidden="1"/>
    <cellStyle name="Followed Hyperlink" xfId="214" builtinId="9" hidden="1"/>
    <cellStyle name="Followed Hyperlink" xfId="296" builtinId="9" hidden="1"/>
    <cellStyle name="Followed Hyperlink" xfId="376" builtinId="9" hidden="1"/>
    <cellStyle name="Followed Hyperlink" xfId="459" builtinId="9" hidden="1"/>
    <cellStyle name="Followed Hyperlink" xfId="537" builtinId="9" hidden="1"/>
    <cellStyle name="Followed Hyperlink" xfId="610" builtinId="9" hidden="1"/>
    <cellStyle name="Followed Hyperlink" xfId="698" builtinId="9" hidden="1"/>
    <cellStyle name="Followed Hyperlink" xfId="2326" builtinId="9" hidden="1"/>
    <cellStyle name="Followed Hyperlink" xfId="2623" builtinId="9" hidden="1"/>
    <cellStyle name="Followed Hyperlink" xfId="2905" builtinId="9" hidden="1"/>
    <cellStyle name="Followed Hyperlink" xfId="3189" builtinId="9" hidden="1"/>
    <cellStyle name="Followed Hyperlink" xfId="3454" builtinId="9" hidden="1"/>
    <cellStyle name="Followed Hyperlink" xfId="3748" builtinId="9" hidden="1"/>
    <cellStyle name="Good" xfId="8" builtinId="26" hidden="1"/>
    <cellStyle name="Good" xfId="69" builtinId="26" hidden="1"/>
    <cellStyle name="Good" xfId="120" builtinId="26" hidden="1"/>
    <cellStyle name="Good" xfId="161" builtinId="26" hidden="1"/>
    <cellStyle name="Good" xfId="217" builtinId="26" hidden="1"/>
    <cellStyle name="Good" xfId="112" builtinId="26" hidden="1"/>
    <cellStyle name="Good" xfId="299" builtinId="26" hidden="1"/>
    <cellStyle name="Good" xfId="158" builtinId="26" hidden="1"/>
    <cellStyle name="Good" xfId="379" builtinId="26" hidden="1"/>
    <cellStyle name="Good" xfId="374" builtinId="26" hidden="1"/>
    <cellStyle name="Good" xfId="462" builtinId="26" hidden="1"/>
    <cellStyle name="Good" xfId="81" builtinId="26" hidden="1"/>
    <cellStyle name="Good" xfId="540" builtinId="26" hidden="1"/>
    <cellStyle name="Good" xfId="503" builtinId="26" hidden="1"/>
    <cellStyle name="Good" xfId="613" builtinId="26" hidden="1"/>
    <cellStyle name="Good" xfId="653" builtinId="26" hidden="1"/>
    <cellStyle name="Good" xfId="701" builtinId="26" hidden="1"/>
    <cellStyle name="Good" xfId="741" builtinId="26" hidden="1"/>
    <cellStyle name="Good" xfId="794" builtinId="26" hidden="1"/>
    <cellStyle name="Good" xfId="839" builtinId="26" hidden="1"/>
    <cellStyle name="Good" xfId="882" builtinId="26" hidden="1"/>
    <cellStyle name="Good" xfId="926" builtinId="26" hidden="1"/>
    <cellStyle name="Good" xfId="923" builtinId="26" hidden="1"/>
    <cellStyle name="Good" xfId="1011" builtinId="26" hidden="1"/>
    <cellStyle name="Good" xfId="1007" builtinId="26" hidden="1"/>
    <cellStyle name="Good" xfId="1009" builtinId="26" hidden="1"/>
    <cellStyle name="Good" xfId="1130" builtinId="26" hidden="1"/>
    <cellStyle name="Good" xfId="1179" builtinId="26" hidden="1"/>
    <cellStyle name="Good" xfId="1223" builtinId="26" hidden="1"/>
    <cellStyle name="Good" xfId="1265" builtinId="26" hidden="1"/>
    <cellStyle name="Good" xfId="1308" builtinId="26" hidden="1"/>
    <cellStyle name="Good" xfId="1305" builtinId="26" hidden="1"/>
    <cellStyle name="Good" xfId="1394" builtinId="26" hidden="1"/>
    <cellStyle name="Good" xfId="1390" builtinId="26" hidden="1"/>
    <cellStyle name="Good" xfId="1392" builtinId="26" hidden="1"/>
    <cellStyle name="Good" xfId="1509" builtinId="26" hidden="1"/>
    <cellStyle name="Good" xfId="1355" builtinId="26" hidden="1"/>
    <cellStyle name="Good" xfId="1559" builtinId="26" hidden="1"/>
    <cellStyle name="Good" xfId="1601" builtinId="26" hidden="1"/>
    <cellStyle name="Good" xfId="1644" builtinId="26" hidden="1"/>
    <cellStyle name="Good" xfId="1641" builtinId="26" hidden="1"/>
    <cellStyle name="Good" xfId="1729" builtinId="26" hidden="1"/>
    <cellStyle name="Good" xfId="1725" builtinId="26" hidden="1"/>
    <cellStyle name="Good" xfId="1727" builtinId="26" hidden="1"/>
    <cellStyle name="Good" xfId="1849" builtinId="26" hidden="1"/>
    <cellStyle name="Good" xfId="1572" builtinId="26" hidden="1"/>
    <cellStyle name="Good" xfId="1889" builtinId="26" hidden="1"/>
    <cellStyle name="Good" xfId="1929" builtinId="26" hidden="1"/>
    <cellStyle name="Good" xfId="1969" builtinId="26" hidden="1"/>
    <cellStyle name="Good" xfId="1966" builtinId="26" hidden="1"/>
    <cellStyle name="Good" xfId="2046" builtinId="26" hidden="1"/>
    <cellStyle name="Good" xfId="2042" builtinId="26" hidden="1"/>
    <cellStyle name="Good" xfId="2044" builtinId="26" hidden="1"/>
    <cellStyle name="Good" xfId="2154" builtinId="26" hidden="1"/>
    <cellStyle name="Good" xfId="1127" builtinId="26" hidden="1"/>
    <cellStyle name="Good" xfId="880" builtinId="26" hidden="1"/>
    <cellStyle name="Good" xfId="785" builtinId="26" hidden="1"/>
    <cellStyle name="Good" xfId="2273" builtinId="26" hidden="1"/>
    <cellStyle name="Good" xfId="2329" builtinId="26" hidden="1"/>
    <cellStyle name="Good" xfId="2376" builtinId="26" hidden="1"/>
    <cellStyle name="Good" xfId="2372" builtinId="26" hidden="1"/>
    <cellStyle name="Good" xfId="2422" builtinId="26" hidden="1"/>
    <cellStyle name="Good" xfId="2426" builtinId="26" hidden="1"/>
    <cellStyle name="Good" xfId="2546" builtinId="26" hidden="1"/>
    <cellStyle name="Good" xfId="2321" builtinId="26" hidden="1"/>
    <cellStyle name="Good" xfId="2626" builtinId="26" hidden="1"/>
    <cellStyle name="Good" xfId="2674" builtinId="26" hidden="1"/>
    <cellStyle name="Good" xfId="2670" builtinId="26" hidden="1"/>
    <cellStyle name="Good" xfId="2720" builtinId="26" hidden="1"/>
    <cellStyle name="Good" xfId="2724" builtinId="26" hidden="1"/>
    <cellStyle name="Good" xfId="2843" builtinId="26" hidden="1"/>
    <cellStyle name="Good" xfId="2624" builtinId="26" hidden="1"/>
    <cellStyle name="Good" xfId="2908" builtinId="26" hidden="1"/>
    <cellStyle name="Good" xfId="2955" builtinId="26" hidden="1"/>
    <cellStyle name="Good" xfId="2951" builtinId="26" hidden="1"/>
    <cellStyle name="Good" xfId="3001" builtinId="26" hidden="1"/>
    <cellStyle name="Good" xfId="3005" builtinId="26" hidden="1"/>
    <cellStyle name="Good" xfId="3125" builtinId="26" hidden="1"/>
    <cellStyle name="Good" xfId="2621" builtinId="26" hidden="1"/>
    <cellStyle name="Good" xfId="3192" builtinId="26" hidden="1"/>
    <cellStyle name="Good" xfId="3238" builtinId="26" hidden="1"/>
    <cellStyle name="Good" xfId="3234" builtinId="26" hidden="1"/>
    <cellStyle name="Good" xfId="3284" builtinId="26" hidden="1"/>
    <cellStyle name="Good" xfId="3288" builtinId="26" hidden="1"/>
    <cellStyle name="Good" xfId="3405" builtinId="26" hidden="1"/>
    <cellStyle name="Good" xfId="3183" builtinId="26" hidden="1"/>
    <cellStyle name="Good" xfId="3456" builtinId="26" hidden="1"/>
    <cellStyle name="Good" xfId="3501" builtinId="26" hidden="1"/>
    <cellStyle name="Good" xfId="3497" builtinId="26" hidden="1"/>
    <cellStyle name="Good" xfId="3547" builtinId="26" hidden="1"/>
    <cellStyle name="Good" xfId="3551" builtinId="26" hidden="1"/>
    <cellStyle name="Good" xfId="3670" builtinId="26" hidden="1"/>
    <cellStyle name="Good" xfId="3703" builtinId="26" hidden="1"/>
    <cellStyle name="Good" xfId="3751" builtinId="26" hidden="1"/>
    <cellStyle name="Heading 1" xfId="3" builtinId="16" customBuiltin="1"/>
    <cellStyle name="Heading 1 2" xfId="63"/>
    <cellStyle name="Heading 2" xfId="4" builtinId="17" customBuiltin="1"/>
    <cellStyle name="Heading 2 2" xfId="64"/>
    <cellStyle name="Heading 3" xfId="5" builtinId="18" customBuiltin="1"/>
    <cellStyle name="Heading 3 2" xfId="62"/>
    <cellStyle name="Heading 4" xfId="6" builtinId="19" customBuiltin="1"/>
    <cellStyle name="Heading 4 2" xfId="65"/>
    <cellStyle name="Hyperlink" xfId="118" builtinId="8" hidden="1"/>
    <cellStyle name="Hyperlink" xfId="215" builtinId="8" hidden="1"/>
    <cellStyle name="Hyperlink" xfId="297" builtinId="8" hidden="1"/>
    <cellStyle name="Hyperlink" xfId="377" builtinId="8" hidden="1"/>
    <cellStyle name="Hyperlink" xfId="460" builtinId="8" hidden="1"/>
    <cellStyle name="Hyperlink" xfId="538" builtinId="8" hidden="1"/>
    <cellStyle name="Hyperlink" xfId="611" builtinId="8" hidden="1"/>
    <cellStyle name="Hyperlink" xfId="699" builtinId="8" hidden="1"/>
    <cellStyle name="Hyperlink" xfId="2327" builtinId="8" hidden="1"/>
    <cellStyle name="Hyperlink" xfId="2577" builtinId="8" hidden="1"/>
    <cellStyle name="Hyperlink" xfId="2874" builtinId="8" hidden="1"/>
    <cellStyle name="Hyperlink" xfId="3156" builtinId="8" hidden="1"/>
    <cellStyle name="Hyperlink" xfId="3436" builtinId="8" hidden="1"/>
    <cellStyle name="Hyperlink" xfId="3749" builtinId="8" hidden="1"/>
    <cellStyle name="Input" xfId="11" builtinId="20" hidden="1"/>
    <cellStyle name="Input" xfId="72" builtinId="20" hidden="1"/>
    <cellStyle name="Input" xfId="123" builtinId="20" hidden="1"/>
    <cellStyle name="Input" xfId="164" builtinId="20" hidden="1"/>
    <cellStyle name="Input" xfId="220" builtinId="20" hidden="1"/>
    <cellStyle name="Input" xfId="176" builtinId="20" hidden="1"/>
    <cellStyle name="Input" xfId="302" builtinId="20" hidden="1"/>
    <cellStyle name="Input" xfId="292" builtinId="20" hidden="1"/>
    <cellStyle name="Input" xfId="382" builtinId="20" hidden="1"/>
    <cellStyle name="Input" xfId="370" builtinId="20" hidden="1"/>
    <cellStyle name="Input" xfId="465" builtinId="20" hidden="1"/>
    <cellStyle name="Input" xfId="456" builtinId="20" hidden="1"/>
    <cellStyle name="Input" xfId="543" builtinId="20" hidden="1"/>
    <cellStyle name="Input" xfId="501" builtinId="20" hidden="1"/>
    <cellStyle name="Input" xfId="616" builtinId="20" hidden="1"/>
    <cellStyle name="Input" xfId="656" builtinId="20" hidden="1"/>
    <cellStyle name="Input" xfId="704" builtinId="20" hidden="1"/>
    <cellStyle name="Input" xfId="744" builtinId="20" hidden="1"/>
    <cellStyle name="Input" xfId="797" builtinId="20" hidden="1"/>
    <cellStyle name="Input" xfId="842" builtinId="20" hidden="1"/>
    <cellStyle name="Input" xfId="885" builtinId="20" hidden="1"/>
    <cellStyle name="Input" xfId="929" builtinId="20" hidden="1"/>
    <cellStyle name="Input" xfId="972" builtinId="20" hidden="1"/>
    <cellStyle name="Input" xfId="1014" builtinId="20" hidden="1"/>
    <cellStyle name="Input" xfId="1057" builtinId="20" hidden="1"/>
    <cellStyle name="Input" xfId="1058" builtinId="20" hidden="1"/>
    <cellStyle name="Input" xfId="1133" builtinId="20" hidden="1"/>
    <cellStyle name="Input" xfId="1182" builtinId="20" hidden="1"/>
    <cellStyle name="Input" xfId="1226" builtinId="20" hidden="1"/>
    <cellStyle name="Input" xfId="1268" builtinId="20" hidden="1"/>
    <cellStyle name="Input" xfId="1311" builtinId="20" hidden="1"/>
    <cellStyle name="Input" xfId="1354" builtinId="20" hidden="1"/>
    <cellStyle name="Input" xfId="1397" builtinId="20" hidden="1"/>
    <cellStyle name="Input" xfId="1440" builtinId="20" hidden="1"/>
    <cellStyle name="Input" xfId="1441" builtinId="20" hidden="1"/>
    <cellStyle name="Input" xfId="1512" builtinId="20" hidden="1"/>
    <cellStyle name="Input" xfId="1219" builtinId="20" hidden="1"/>
    <cellStyle name="Input" xfId="1562" builtinId="20" hidden="1"/>
    <cellStyle name="Input" xfId="1604" builtinId="20" hidden="1"/>
    <cellStyle name="Input" xfId="1647" builtinId="20" hidden="1"/>
    <cellStyle name="Input" xfId="1690" builtinId="20" hidden="1"/>
    <cellStyle name="Input" xfId="1732" builtinId="20" hidden="1"/>
    <cellStyle name="Input" xfId="1776" builtinId="20" hidden="1"/>
    <cellStyle name="Input" xfId="1777" builtinId="20" hidden="1"/>
    <cellStyle name="Input" xfId="1852" builtinId="20" hidden="1"/>
    <cellStyle name="Input" xfId="1555" builtinId="20" hidden="1"/>
    <cellStyle name="Input" xfId="1892" builtinId="20" hidden="1"/>
    <cellStyle name="Input" xfId="1932" builtinId="20" hidden="1"/>
    <cellStyle name="Input" xfId="1972" builtinId="20" hidden="1"/>
    <cellStyle name="Input" xfId="2012" builtinId="20" hidden="1"/>
    <cellStyle name="Input" xfId="2049" builtinId="20" hidden="1"/>
    <cellStyle name="Input" xfId="2090" builtinId="20" hidden="1"/>
    <cellStyle name="Input" xfId="2091" builtinId="20" hidden="1"/>
    <cellStyle name="Input" xfId="2157" builtinId="20" hidden="1"/>
    <cellStyle name="Input" xfId="787" builtinId="20" hidden="1"/>
    <cellStyle name="Input" xfId="2189" builtinId="20" hidden="1"/>
    <cellStyle name="Input" xfId="2231" builtinId="20" hidden="1"/>
    <cellStyle name="Input" xfId="2276" builtinId="20" hidden="1"/>
    <cellStyle name="Input" xfId="2332" builtinId="20" hidden="1"/>
    <cellStyle name="Input" xfId="2379" builtinId="20" hidden="1"/>
    <cellStyle name="Input" xfId="2418" builtinId="20" hidden="1"/>
    <cellStyle name="Input" xfId="2470" builtinId="20" hidden="1"/>
    <cellStyle name="Input" xfId="2505" builtinId="20" hidden="1"/>
    <cellStyle name="Input" xfId="2543" builtinId="20" hidden="1"/>
    <cellStyle name="Input" xfId="2314" builtinId="20" hidden="1"/>
    <cellStyle name="Input" xfId="2629" builtinId="20" hidden="1"/>
    <cellStyle name="Input" xfId="2677" builtinId="20" hidden="1"/>
    <cellStyle name="Input" xfId="2716" builtinId="20" hidden="1"/>
    <cellStyle name="Input" xfId="2767" builtinId="20" hidden="1"/>
    <cellStyle name="Input" xfId="2802" builtinId="20" hidden="1"/>
    <cellStyle name="Input" xfId="2840" builtinId="20" hidden="1"/>
    <cellStyle name="Input" xfId="2270" builtinId="20" hidden="1"/>
    <cellStyle name="Input" xfId="2911" builtinId="20" hidden="1"/>
    <cellStyle name="Input" xfId="2958" builtinId="20" hidden="1"/>
    <cellStyle name="Input" xfId="2997" builtinId="20" hidden="1"/>
    <cellStyle name="Input" xfId="3049" builtinId="20" hidden="1"/>
    <cellStyle name="Input" xfId="3084" builtinId="20" hidden="1"/>
    <cellStyle name="Input" xfId="3122" builtinId="20" hidden="1"/>
    <cellStyle name="Input" xfId="2947" builtinId="20" hidden="1"/>
    <cellStyle name="Input" xfId="3195" builtinId="20" hidden="1"/>
    <cellStyle name="Input" xfId="3241" builtinId="20" hidden="1"/>
    <cellStyle name="Input" xfId="3280" builtinId="20" hidden="1"/>
    <cellStyle name="Input" xfId="3329" builtinId="20" hidden="1"/>
    <cellStyle name="Input" xfId="3364" builtinId="20" hidden="1"/>
    <cellStyle name="Input" xfId="3402" builtinId="20" hidden="1"/>
    <cellStyle name="Input" xfId="2906" builtinId="20" hidden="1"/>
    <cellStyle name="Input" xfId="3459" builtinId="20" hidden="1"/>
    <cellStyle name="Input" xfId="3504" builtinId="20" hidden="1"/>
    <cellStyle name="Input" xfId="3543" builtinId="20" hidden="1"/>
    <cellStyle name="Input" xfId="3594" builtinId="20" hidden="1"/>
    <cellStyle name="Input" xfId="3629" builtinId="20" hidden="1"/>
    <cellStyle name="Input" xfId="3667" builtinId="20" hidden="1"/>
    <cellStyle name="Input" xfId="3706" builtinId="20" hidden="1"/>
    <cellStyle name="Input" xfId="3754" builtinId="20" hidden="1"/>
    <cellStyle name="Linked Cell" xfId="14" builtinId="24" hidden="1"/>
    <cellStyle name="Linked Cell" xfId="75" builtinId="24" hidden="1"/>
    <cellStyle name="Linked Cell" xfId="126" builtinId="24" hidden="1"/>
    <cellStyle name="Linked Cell" xfId="167" builtinId="24" hidden="1"/>
    <cellStyle name="Linked Cell" xfId="223" builtinId="24" hidden="1"/>
    <cellStyle name="Linked Cell" xfId="174" builtinId="24" hidden="1"/>
    <cellStyle name="Linked Cell" xfId="305" builtinId="24" hidden="1"/>
    <cellStyle name="Linked Cell" xfId="337" builtinId="24" hidden="1"/>
    <cellStyle name="Linked Cell" xfId="385" builtinId="24" hidden="1"/>
    <cellStyle name="Linked Cell" xfId="367" builtinId="24" hidden="1"/>
    <cellStyle name="Linked Cell" xfId="468" builtinId="24" hidden="1"/>
    <cellStyle name="Linked Cell" xfId="454" builtinId="24" hidden="1"/>
    <cellStyle name="Linked Cell" xfId="546" builtinId="24" hidden="1"/>
    <cellStyle name="Linked Cell" xfId="530" builtinId="24" hidden="1"/>
    <cellStyle name="Linked Cell" xfId="619" builtinId="24" hidden="1"/>
    <cellStyle name="Linked Cell" xfId="659" builtinId="24" hidden="1"/>
    <cellStyle name="Linked Cell" xfId="707" builtinId="24" hidden="1"/>
    <cellStyle name="Linked Cell" xfId="747" builtinId="24" hidden="1"/>
    <cellStyle name="Linked Cell" xfId="800" builtinId="24" hidden="1"/>
    <cellStyle name="Linked Cell" xfId="845" builtinId="24" hidden="1"/>
    <cellStyle name="Linked Cell" xfId="888" builtinId="24" hidden="1"/>
    <cellStyle name="Linked Cell" xfId="932" builtinId="24" hidden="1"/>
    <cellStyle name="Linked Cell" xfId="968" builtinId="24" hidden="1"/>
    <cellStyle name="Linked Cell" xfId="1017" builtinId="24" hidden="1"/>
    <cellStyle name="Linked Cell" xfId="1052" builtinId="24" hidden="1"/>
    <cellStyle name="Linked Cell" xfId="1063" builtinId="24" hidden="1"/>
    <cellStyle name="Linked Cell" xfId="1136" builtinId="24" hidden="1"/>
    <cellStyle name="Linked Cell" xfId="1185" builtinId="24" hidden="1"/>
    <cellStyle name="Linked Cell" xfId="1229" builtinId="24" hidden="1"/>
    <cellStyle name="Linked Cell" xfId="1271" builtinId="24" hidden="1"/>
    <cellStyle name="Linked Cell" xfId="1314" builtinId="24" hidden="1"/>
    <cellStyle name="Linked Cell" xfId="1350" builtinId="24" hidden="1"/>
    <cellStyle name="Linked Cell" xfId="1400" builtinId="24" hidden="1"/>
    <cellStyle name="Linked Cell" xfId="1435" builtinId="24" hidden="1"/>
    <cellStyle name="Linked Cell" xfId="1446" builtinId="24" hidden="1"/>
    <cellStyle name="Linked Cell" xfId="1515" builtinId="24" hidden="1"/>
    <cellStyle name="Linked Cell" xfId="1352" builtinId="24" hidden="1"/>
    <cellStyle name="Linked Cell" xfId="1565" builtinId="24" hidden="1"/>
    <cellStyle name="Linked Cell" xfId="1607" builtinId="24" hidden="1"/>
    <cellStyle name="Linked Cell" xfId="1650" builtinId="24" hidden="1"/>
    <cellStyle name="Linked Cell" xfId="1686" builtinId="24" hidden="1"/>
    <cellStyle name="Linked Cell" xfId="1735" builtinId="24" hidden="1"/>
    <cellStyle name="Linked Cell" xfId="1771" builtinId="24" hidden="1"/>
    <cellStyle name="Linked Cell" xfId="1783" builtinId="24" hidden="1"/>
    <cellStyle name="Linked Cell" xfId="1855" builtinId="24" hidden="1"/>
    <cellStyle name="Linked Cell" xfId="1554" builtinId="24" hidden="1"/>
    <cellStyle name="Linked Cell" xfId="1895" builtinId="24" hidden="1"/>
    <cellStyle name="Linked Cell" xfId="1935" builtinId="24" hidden="1"/>
    <cellStyle name="Linked Cell" xfId="1975" builtinId="24" hidden="1"/>
    <cellStyle name="Linked Cell" xfId="2009" builtinId="24" hidden="1"/>
    <cellStyle name="Linked Cell" xfId="2052" builtinId="24" hidden="1"/>
    <cellStyle name="Linked Cell" xfId="2086" builtinId="24" hidden="1"/>
    <cellStyle name="Linked Cell" xfId="2094" builtinId="24" hidden="1"/>
    <cellStyle name="Linked Cell" xfId="2160" builtinId="24" hidden="1"/>
    <cellStyle name="Linked Cell" xfId="879" builtinId="24" hidden="1"/>
    <cellStyle name="Linked Cell" xfId="2192" builtinId="24" hidden="1"/>
    <cellStyle name="Linked Cell" xfId="2233" builtinId="24" hidden="1"/>
    <cellStyle name="Linked Cell" xfId="2279" builtinId="24" hidden="1"/>
    <cellStyle name="Linked Cell" xfId="2335" builtinId="24" hidden="1"/>
    <cellStyle name="Linked Cell" xfId="2382" builtinId="24" hidden="1"/>
    <cellStyle name="Linked Cell" xfId="2421" builtinId="24" hidden="1"/>
    <cellStyle name="Linked Cell" xfId="2465" builtinId="24" hidden="1"/>
    <cellStyle name="Linked Cell" xfId="2500" builtinId="24" hidden="1"/>
    <cellStyle name="Linked Cell" xfId="2538" builtinId="24" hidden="1"/>
    <cellStyle name="Linked Cell" xfId="2266" builtinId="24" hidden="1"/>
    <cellStyle name="Linked Cell" xfId="2632" builtinId="24" hidden="1"/>
    <cellStyle name="Linked Cell" xfId="2680" builtinId="24" hidden="1"/>
    <cellStyle name="Linked Cell" xfId="2719" builtinId="24" hidden="1"/>
    <cellStyle name="Linked Cell" xfId="2763" builtinId="24" hidden="1"/>
    <cellStyle name="Linked Cell" xfId="2797" builtinId="24" hidden="1"/>
    <cellStyle name="Linked Cell" xfId="2835" builtinId="24" hidden="1"/>
    <cellStyle name="Linked Cell" xfId="2769" builtinId="24" hidden="1"/>
    <cellStyle name="Linked Cell" xfId="2914" builtinId="24" hidden="1"/>
    <cellStyle name="Linked Cell" xfId="2961" builtinId="24" hidden="1"/>
    <cellStyle name="Linked Cell" xfId="3000" builtinId="24" hidden="1"/>
    <cellStyle name="Linked Cell" xfId="3044" builtinId="24" hidden="1"/>
    <cellStyle name="Linked Cell" xfId="3079" builtinId="24" hidden="1"/>
    <cellStyle name="Linked Cell" xfId="3117" builtinId="24" hidden="1"/>
    <cellStyle name="Linked Cell" xfId="2615" builtinId="24" hidden="1"/>
    <cellStyle name="Linked Cell" xfId="3198" builtinId="24" hidden="1"/>
    <cellStyle name="Linked Cell" xfId="3244" builtinId="24" hidden="1"/>
    <cellStyle name="Linked Cell" xfId="3283" builtinId="24" hidden="1"/>
    <cellStyle name="Linked Cell" xfId="3325" builtinId="24" hidden="1"/>
    <cellStyle name="Linked Cell" xfId="3359" builtinId="24" hidden="1"/>
    <cellStyle name="Linked Cell" xfId="3397" builtinId="24" hidden="1"/>
    <cellStyle name="Linked Cell" xfId="3185" builtinId="24" hidden="1"/>
    <cellStyle name="Linked Cell" xfId="3462" builtinId="24" hidden="1"/>
    <cellStyle name="Linked Cell" xfId="3507" builtinId="24" hidden="1"/>
    <cellStyle name="Linked Cell" xfId="3546" builtinId="24" hidden="1"/>
    <cellStyle name="Linked Cell" xfId="3589" builtinId="24" hidden="1"/>
    <cellStyle name="Linked Cell" xfId="3624" builtinId="24" hidden="1"/>
    <cellStyle name="Linked Cell" xfId="3662" builtinId="24" hidden="1"/>
    <cellStyle name="Linked Cell" xfId="3709" builtinId="24" hidden="1"/>
    <cellStyle name="Linked Cell" xfId="3757" builtinId="24" hidden="1"/>
    <cellStyle name="Narr - Normal Text" xfId="54"/>
    <cellStyle name="Neutral" xfId="10" builtinId="28" hidden="1"/>
    <cellStyle name="Neutral" xfId="71" builtinId="28" hidden="1"/>
    <cellStyle name="Neutral" xfId="122" builtinId="28" hidden="1"/>
    <cellStyle name="Neutral" xfId="163" builtinId="28" hidden="1"/>
    <cellStyle name="Neutral" xfId="219" builtinId="28" hidden="1"/>
    <cellStyle name="Neutral" xfId="211" builtinId="28" hidden="1"/>
    <cellStyle name="Neutral" xfId="301" builtinId="28" hidden="1"/>
    <cellStyle name="Neutral" xfId="293" builtinId="28" hidden="1"/>
    <cellStyle name="Neutral" xfId="381" builtinId="28" hidden="1"/>
    <cellStyle name="Neutral" xfId="375" builtinId="28" hidden="1"/>
    <cellStyle name="Neutral" xfId="464" builtinId="28" hidden="1"/>
    <cellStyle name="Neutral" xfId="452" builtinId="28" hidden="1"/>
    <cellStyle name="Neutral" xfId="542" builtinId="28" hidden="1"/>
    <cellStyle name="Neutral" xfId="532" builtinId="28" hidden="1"/>
    <cellStyle name="Neutral" xfId="615" builtinId="28" hidden="1"/>
    <cellStyle name="Neutral" xfId="655" builtinId="28" hidden="1"/>
    <cellStyle name="Neutral" xfId="703" builtinId="28" hidden="1"/>
    <cellStyle name="Neutral" xfId="743" builtinId="28" hidden="1"/>
    <cellStyle name="Neutral" xfId="796" builtinId="28" hidden="1"/>
    <cellStyle name="Neutral" xfId="841" builtinId="28" hidden="1"/>
    <cellStyle name="Neutral" xfId="884" builtinId="28" hidden="1"/>
    <cellStyle name="Neutral" xfId="928" builtinId="28" hidden="1"/>
    <cellStyle name="Neutral" xfId="971" builtinId="28" hidden="1"/>
    <cellStyle name="Neutral" xfId="1013" builtinId="28" hidden="1"/>
    <cellStyle name="Neutral" xfId="1056" builtinId="28" hidden="1"/>
    <cellStyle name="Neutral" xfId="1003" builtinId="28" hidden="1"/>
    <cellStyle name="Neutral" xfId="1132" builtinId="28" hidden="1"/>
    <cellStyle name="Neutral" xfId="1181" builtinId="28" hidden="1"/>
    <cellStyle name="Neutral" xfId="1225" builtinId="28" hidden="1"/>
    <cellStyle name="Neutral" xfId="1267" builtinId="28" hidden="1"/>
    <cellStyle name="Neutral" xfId="1310" builtinId="28" hidden="1"/>
    <cellStyle name="Neutral" xfId="1353" builtinId="28" hidden="1"/>
    <cellStyle name="Neutral" xfId="1396" builtinId="28" hidden="1"/>
    <cellStyle name="Neutral" xfId="1439" builtinId="28" hidden="1"/>
    <cellStyle name="Neutral" xfId="1386" builtinId="28" hidden="1"/>
    <cellStyle name="Neutral" xfId="1511" builtinId="28" hidden="1"/>
    <cellStyle name="Neutral" xfId="1216" builtinId="28" hidden="1"/>
    <cellStyle name="Neutral" xfId="1561" builtinId="28" hidden="1"/>
    <cellStyle name="Neutral" xfId="1603" builtinId="28" hidden="1"/>
    <cellStyle name="Neutral" xfId="1646" builtinId="28" hidden="1"/>
    <cellStyle name="Neutral" xfId="1689" builtinId="28" hidden="1"/>
    <cellStyle name="Neutral" xfId="1731" builtinId="28" hidden="1"/>
    <cellStyle name="Neutral" xfId="1775" builtinId="28" hidden="1"/>
    <cellStyle name="Neutral" xfId="1722" builtinId="28" hidden="1"/>
    <cellStyle name="Neutral" xfId="1851" builtinId="28" hidden="1"/>
    <cellStyle name="Neutral" xfId="1556" builtinId="28" hidden="1"/>
    <cellStyle name="Neutral" xfId="1891" builtinId="28" hidden="1"/>
    <cellStyle name="Neutral" xfId="1931" builtinId="28" hidden="1"/>
    <cellStyle name="Neutral" xfId="1971" builtinId="28" hidden="1"/>
    <cellStyle name="Neutral" xfId="2011" builtinId="28" hidden="1"/>
    <cellStyle name="Neutral" xfId="2048" builtinId="28" hidden="1"/>
    <cellStyle name="Neutral" xfId="2089" builtinId="28" hidden="1"/>
    <cellStyle name="Neutral" xfId="2039" builtinId="28" hidden="1"/>
    <cellStyle name="Neutral" xfId="2156" builtinId="28" hidden="1"/>
    <cellStyle name="Neutral" xfId="1167" builtinId="28" hidden="1"/>
    <cellStyle name="Neutral" xfId="788" builtinId="28" hidden="1"/>
    <cellStyle name="Neutral" xfId="1055" builtinId="28" hidden="1"/>
    <cellStyle name="Neutral" xfId="2275" builtinId="28" hidden="1"/>
    <cellStyle name="Neutral" xfId="2331" builtinId="28" hidden="1"/>
    <cellStyle name="Neutral" xfId="2378" builtinId="28" hidden="1"/>
    <cellStyle name="Neutral" xfId="2428" builtinId="28" hidden="1"/>
    <cellStyle name="Neutral" xfId="2466" builtinId="28" hidden="1"/>
    <cellStyle name="Neutral" xfId="2506" builtinId="28" hidden="1"/>
    <cellStyle name="Neutral" xfId="2545" builtinId="28" hidden="1"/>
    <cellStyle name="Neutral" xfId="2367" builtinId="28" hidden="1"/>
    <cellStyle name="Neutral" xfId="2628" builtinId="28" hidden="1"/>
    <cellStyle name="Neutral" xfId="2676" builtinId="28" hidden="1"/>
    <cellStyle name="Neutral" xfId="2726" builtinId="28" hidden="1"/>
    <cellStyle name="Neutral" xfId="2764" builtinId="28" hidden="1"/>
    <cellStyle name="Neutral" xfId="2803" builtinId="28" hidden="1"/>
    <cellStyle name="Neutral" xfId="2842" builtinId="28" hidden="1"/>
    <cellStyle name="Neutral" xfId="2269" builtinId="28" hidden="1"/>
    <cellStyle name="Neutral" xfId="2910" builtinId="28" hidden="1"/>
    <cellStyle name="Neutral" xfId="2957" builtinId="28" hidden="1"/>
    <cellStyle name="Neutral" xfId="3007" builtinId="28" hidden="1"/>
    <cellStyle name="Neutral" xfId="3045" builtinId="28" hidden="1"/>
    <cellStyle name="Neutral" xfId="3085" builtinId="28" hidden="1"/>
    <cellStyle name="Neutral" xfId="3124" builtinId="28" hidden="1"/>
    <cellStyle name="Neutral" xfId="2898" builtinId="28" hidden="1"/>
    <cellStyle name="Neutral" xfId="3194" builtinId="28" hidden="1"/>
    <cellStyle name="Neutral" xfId="3240" builtinId="28" hidden="1"/>
    <cellStyle name="Neutral" xfId="3289" builtinId="28" hidden="1"/>
    <cellStyle name="Neutral" xfId="3326" builtinId="28" hidden="1"/>
    <cellStyle name="Neutral" xfId="3365" builtinId="28" hidden="1"/>
    <cellStyle name="Neutral" xfId="3404" builtinId="28" hidden="1"/>
    <cellStyle name="Neutral" xfId="2320" builtinId="28" hidden="1"/>
    <cellStyle name="Neutral" xfId="3458" builtinId="28" hidden="1"/>
    <cellStyle name="Neutral" xfId="3503" builtinId="28" hidden="1"/>
    <cellStyle name="Neutral" xfId="3552" builtinId="28" hidden="1"/>
    <cellStyle name="Neutral" xfId="3590" builtinId="28" hidden="1"/>
    <cellStyle name="Neutral" xfId="3630" builtinId="28" hidden="1"/>
    <cellStyle name="Neutral" xfId="3669" builtinId="28" hidden="1"/>
    <cellStyle name="Neutral" xfId="3705" builtinId="28" hidden="1"/>
    <cellStyle name="Neutral" xfId="3753" builtinId="28" hidden="1"/>
    <cellStyle name="Normal" xfId="0" builtinId="0" customBuiltin="1"/>
    <cellStyle name="Normal 2" xfId="61"/>
    <cellStyle name="Note" xfId="17" builtinId="10" hidden="1"/>
    <cellStyle name="Note" xfId="78" builtinId="10" hidden="1"/>
    <cellStyle name="Note" xfId="129" builtinId="10" hidden="1"/>
    <cellStyle name="Note" xfId="170" builtinId="10" hidden="1"/>
    <cellStyle name="Note" xfId="226" builtinId="10" hidden="1"/>
    <cellStyle name="Note" xfId="203" builtinId="10" hidden="1"/>
    <cellStyle name="Note" xfId="308" builtinId="10" hidden="1"/>
    <cellStyle name="Note" xfId="286" builtinId="10" hidden="1"/>
    <cellStyle name="Note" xfId="388" builtinId="10" hidden="1"/>
    <cellStyle name="Note" xfId="294" builtinId="10" hidden="1"/>
    <cellStyle name="Note" xfId="471" builtinId="10" hidden="1"/>
    <cellStyle name="Note" xfId="449" builtinId="10" hidden="1"/>
    <cellStyle name="Note" xfId="549" builtinId="10" hidden="1"/>
    <cellStyle name="Note" xfId="419" builtinId="10" hidden="1"/>
    <cellStyle name="Note" xfId="622" builtinId="10" hidden="1"/>
    <cellStyle name="Note" xfId="662" builtinId="10" hidden="1"/>
    <cellStyle name="Note" xfId="710" builtinId="10" hidden="1"/>
    <cellStyle name="Note" xfId="750" builtinId="10" hidden="1"/>
    <cellStyle name="Note" xfId="1169" builtinId="10" hidden="1"/>
    <cellStyle name="Note" xfId="2195" builtinId="10" hidden="1"/>
    <cellStyle name="Note" xfId="2228" builtinId="10" hidden="1"/>
    <cellStyle name="Note" xfId="2282" builtinId="10" hidden="1"/>
    <cellStyle name="Note" xfId="2338" builtinId="10" hidden="1"/>
    <cellStyle name="Note" xfId="2385" builtinId="10" hidden="1"/>
    <cellStyle name="Note" xfId="2429" builtinId="10" hidden="1"/>
    <cellStyle name="Note" xfId="2461" builtinId="10" hidden="1"/>
    <cellStyle name="Note" xfId="2425" builtinId="10" hidden="1"/>
    <cellStyle name="Note" xfId="2504" builtinId="10" hidden="1"/>
    <cellStyle name="Note" xfId="2579" builtinId="10" hidden="1"/>
    <cellStyle name="Note" xfId="2635" builtinId="10" hidden="1"/>
    <cellStyle name="Note" xfId="2683" builtinId="10" hidden="1"/>
    <cellStyle name="Note" xfId="2727" builtinId="10" hidden="1"/>
    <cellStyle name="Note" xfId="2759" builtinId="10" hidden="1"/>
    <cellStyle name="Note" xfId="2723" builtinId="10" hidden="1"/>
    <cellStyle name="Note" xfId="2801" builtinId="10" hidden="1"/>
    <cellStyle name="Note" xfId="2620" builtinId="10" hidden="1"/>
    <cellStyle name="Note" xfId="2917" builtinId="10" hidden="1"/>
    <cellStyle name="Note" xfId="2964" builtinId="10" hidden="1"/>
    <cellStyle name="Note" xfId="3008" builtinId="10" hidden="1"/>
    <cellStyle name="Note" xfId="3040" builtinId="10" hidden="1"/>
    <cellStyle name="Note" xfId="3004" builtinId="10" hidden="1"/>
    <cellStyle name="Note" xfId="3083" builtinId="10" hidden="1"/>
    <cellStyle name="Note" xfId="2900" builtinId="10" hidden="1"/>
    <cellStyle name="Note" xfId="3201" builtinId="10" hidden="1"/>
    <cellStyle name="Note" xfId="3247" builtinId="10" hidden="1"/>
    <cellStyle name="Note" xfId="3290" builtinId="10" hidden="1"/>
    <cellStyle name="Note" xfId="3321" builtinId="10" hidden="1"/>
    <cellStyle name="Note" xfId="3287" builtinId="10" hidden="1"/>
    <cellStyle name="Note" xfId="3363" builtinId="10" hidden="1"/>
    <cellStyle name="Note" xfId="3231" builtinId="10" hidden="1"/>
    <cellStyle name="Note" xfId="3465" builtinId="10" hidden="1"/>
    <cellStyle name="Note" xfId="3510" builtinId="10" hidden="1"/>
    <cellStyle name="Note" xfId="3553" builtinId="10" hidden="1"/>
    <cellStyle name="Note" xfId="3585" builtinId="10" hidden="1"/>
    <cellStyle name="Note" xfId="3550" builtinId="10" hidden="1"/>
    <cellStyle name="Note" xfId="3628" builtinId="10" hidden="1"/>
    <cellStyle name="Note" xfId="3712" builtinId="10" hidden="1"/>
    <cellStyle name="Note" xfId="3760" builtinId="10" hidden="1"/>
    <cellStyle name="Note 4" xfId="848" hidden="1"/>
    <cellStyle name="Note 4" xfId="935" hidden="1"/>
    <cellStyle name="Note 4" xfId="1020" hidden="1"/>
    <cellStyle name="Note 4" xfId="1090" hidden="1"/>
    <cellStyle name="Note 4" xfId="1232" hidden="1"/>
    <cellStyle name="Note 4" xfId="1317" hidden="1"/>
    <cellStyle name="Note 4" xfId="1403" hidden="1"/>
    <cellStyle name="Note 4" xfId="1472" hidden="1"/>
    <cellStyle name="Note 4" xfId="1568" hidden="1"/>
    <cellStyle name="Note 4" xfId="1653" hidden="1"/>
    <cellStyle name="Note 4" xfId="1738" hidden="1"/>
    <cellStyle name="Note 4" xfId="1810" hidden="1"/>
    <cellStyle name="Note 4" xfId="1898" hidden="1"/>
    <cellStyle name="Note 4" xfId="1978" hidden="1"/>
    <cellStyle name="Note 4" xfId="2055" hidden="1"/>
    <cellStyle name="Note 4" xfId="2120" hidden="1"/>
    <cellStyle name="Output" xfId="12" builtinId="21" hidden="1"/>
    <cellStyle name="Output" xfId="73" builtinId="21" hidden="1"/>
    <cellStyle name="Output" xfId="124" builtinId="21" hidden="1"/>
    <cellStyle name="Output" xfId="165" builtinId="21" hidden="1"/>
    <cellStyle name="Output" xfId="221" builtinId="21" hidden="1"/>
    <cellStyle name="Output" xfId="213" builtinId="21" hidden="1"/>
    <cellStyle name="Output" xfId="303" builtinId="21" hidden="1"/>
    <cellStyle name="Output" xfId="295" builtinId="21" hidden="1"/>
    <cellStyle name="Output" xfId="383" builtinId="21" hidden="1"/>
    <cellStyle name="Output" xfId="339" builtinId="21" hidden="1"/>
    <cellStyle name="Output" xfId="466" builtinId="21" hidden="1"/>
    <cellStyle name="Output" xfId="455" builtinId="21" hidden="1"/>
    <cellStyle name="Output" xfId="544" builtinId="21" hidden="1"/>
    <cellStyle name="Output" xfId="578" builtinId="21" hidden="1"/>
    <cellStyle name="Output" xfId="617" builtinId="21" hidden="1"/>
    <cellStyle name="Output" xfId="657" builtinId="21" hidden="1"/>
    <cellStyle name="Output" xfId="705" builtinId="21" hidden="1"/>
    <cellStyle name="Output" xfId="745" builtinId="21" hidden="1"/>
    <cellStyle name="Output" xfId="798" builtinId="21" hidden="1"/>
    <cellStyle name="Output" xfId="843" builtinId="21" hidden="1"/>
    <cellStyle name="Output" xfId="886" builtinId="21" hidden="1"/>
    <cellStyle name="Output" xfId="930" builtinId="21" hidden="1"/>
    <cellStyle name="Output" xfId="967" builtinId="21" hidden="1"/>
    <cellStyle name="Output" xfId="1015" builtinId="21" hidden="1"/>
    <cellStyle name="Output" xfId="1051" builtinId="21" hidden="1"/>
    <cellStyle name="Output" xfId="1096" builtinId="21" hidden="1"/>
    <cellStyle name="Output" xfId="1134" builtinId="21" hidden="1"/>
    <cellStyle name="Output" xfId="1183" builtinId="21" hidden="1"/>
    <cellStyle name="Output" xfId="1227" builtinId="21" hidden="1"/>
    <cellStyle name="Output" xfId="1269" builtinId="21" hidden="1"/>
    <cellStyle name="Output" xfId="1312" builtinId="21" hidden="1"/>
    <cellStyle name="Output" xfId="1349" builtinId="21" hidden="1"/>
    <cellStyle name="Output" xfId="1398" builtinId="21" hidden="1"/>
    <cellStyle name="Output" xfId="1434" builtinId="21" hidden="1"/>
    <cellStyle name="Output" xfId="1478" builtinId="21" hidden="1"/>
    <cellStyle name="Output" xfId="1513" builtinId="21" hidden="1"/>
    <cellStyle name="Output" xfId="1384" builtinId="21" hidden="1"/>
    <cellStyle name="Output" xfId="1563" builtinId="21" hidden="1"/>
    <cellStyle name="Output" xfId="1605" builtinId="21" hidden="1"/>
    <cellStyle name="Output" xfId="1648" builtinId="21" hidden="1"/>
    <cellStyle name="Output" xfId="1685" builtinId="21" hidden="1"/>
    <cellStyle name="Output" xfId="1733" builtinId="21" hidden="1"/>
    <cellStyle name="Output" xfId="1770" builtinId="21" hidden="1"/>
    <cellStyle name="Output" xfId="1816" builtinId="21" hidden="1"/>
    <cellStyle name="Output" xfId="1853" builtinId="21" hidden="1"/>
    <cellStyle name="Output" xfId="1887" builtinId="21" hidden="1"/>
    <cellStyle name="Output" xfId="1893" builtinId="21" hidden="1"/>
    <cellStyle name="Output" xfId="1933" builtinId="21" hidden="1"/>
    <cellStyle name="Output" xfId="1973" builtinId="21" hidden="1"/>
    <cellStyle name="Output" xfId="2008" builtinId="21" hidden="1"/>
    <cellStyle name="Output" xfId="2050" builtinId="21" hidden="1"/>
    <cellStyle name="Output" xfId="2085" builtinId="21" hidden="1"/>
    <cellStyle name="Output" xfId="2125" builtinId="21" hidden="1"/>
    <cellStyle name="Output" xfId="2158" builtinId="21" hidden="1"/>
    <cellStyle name="Output" xfId="851" builtinId="21" hidden="1"/>
    <cellStyle name="Output" xfId="2190" builtinId="21" hidden="1"/>
    <cellStyle name="Output" xfId="2234" builtinId="21" hidden="1"/>
    <cellStyle name="Output" xfId="2277" builtinId="21" hidden="1"/>
    <cellStyle name="Output" xfId="2333" builtinId="21" hidden="1"/>
    <cellStyle name="Output" xfId="2380" builtinId="21" hidden="1"/>
    <cellStyle name="Output" xfId="2417" builtinId="21" hidden="1"/>
    <cellStyle name="Output" xfId="2435" builtinId="21" hidden="1"/>
    <cellStyle name="Output" xfId="2499" builtinId="21" hidden="1"/>
    <cellStyle name="Output" xfId="2510" builtinId="21" hidden="1"/>
    <cellStyle name="Output" xfId="2315" builtinId="21" hidden="1"/>
    <cellStyle name="Output" xfId="2630" builtinId="21" hidden="1"/>
    <cellStyle name="Output" xfId="2678" builtinId="21" hidden="1"/>
    <cellStyle name="Output" xfId="2715" builtinId="21" hidden="1"/>
    <cellStyle name="Output" xfId="2733" builtinId="21" hidden="1"/>
    <cellStyle name="Output" xfId="2796" builtinId="21" hidden="1"/>
    <cellStyle name="Output" xfId="2807" builtinId="21" hidden="1"/>
    <cellStyle name="Output" xfId="2271" builtinId="21" hidden="1"/>
    <cellStyle name="Output" xfId="2912" builtinId="21" hidden="1"/>
    <cellStyle name="Output" xfId="2959" builtinId="21" hidden="1"/>
    <cellStyle name="Output" xfId="2996" builtinId="21" hidden="1"/>
    <cellStyle name="Output" xfId="3014" builtinId="21" hidden="1"/>
    <cellStyle name="Output" xfId="3078" builtinId="21" hidden="1"/>
    <cellStyle name="Output" xfId="3089" builtinId="21" hidden="1"/>
    <cellStyle name="Output" xfId="2902" builtinId="21" hidden="1"/>
    <cellStyle name="Output" xfId="3196" builtinId="21" hidden="1"/>
    <cellStyle name="Output" xfId="3242" builtinId="21" hidden="1"/>
    <cellStyle name="Output" xfId="3279" builtinId="21" hidden="1"/>
    <cellStyle name="Output" xfId="3295" builtinId="21" hidden="1"/>
    <cellStyle name="Output" xfId="3358" builtinId="21" hidden="1"/>
    <cellStyle name="Output" xfId="3369" builtinId="21" hidden="1"/>
    <cellStyle name="Output" xfId="2896" builtinId="21" hidden="1"/>
    <cellStyle name="Output" xfId="3460" builtinId="21" hidden="1"/>
    <cellStyle name="Output" xfId="3505" builtinId="21" hidden="1"/>
    <cellStyle name="Output" xfId="3542" builtinId="21" hidden="1"/>
    <cellStyle name="Output" xfId="3559" builtinId="21" hidden="1"/>
    <cellStyle name="Output" xfId="3623" builtinId="21" hidden="1"/>
    <cellStyle name="Output" xfId="3634" builtinId="21" hidden="1"/>
    <cellStyle name="Output" xfId="3707" builtinId="21" hidden="1"/>
    <cellStyle name="Output" xfId="3755" builtinId="21" hidden="1"/>
    <cellStyle name="Percent" xfId="2" builtinId="5" hidden="1"/>
    <cellStyle name="Percent" xfId="67" builtinId="5" hidden="1"/>
    <cellStyle name="Percent" xfId="115" builtinId="5" customBuiltin="1"/>
    <cellStyle name="Percent 10" xfId="651"/>
    <cellStyle name="Percent 11" xfId="696"/>
    <cellStyle name="Percent 2" xfId="111" hidden="1"/>
    <cellStyle name="Percent 2" xfId="212" hidden="1"/>
    <cellStyle name="Percent 2" xfId="457" hidden="1"/>
    <cellStyle name="Percent 2" xfId="790" hidden="1"/>
    <cellStyle name="Percent 2" xfId="2232"/>
    <cellStyle name="Percent 2 2" xfId="2371" hidden="1"/>
    <cellStyle name="Percent 2 2" xfId="2839" hidden="1"/>
    <cellStyle name="Percent 2 2" xfId="2950" hidden="1"/>
    <cellStyle name="Percent 2 2" xfId="3401" hidden="1"/>
    <cellStyle name="Percent 2 2" xfId="3496"/>
    <cellStyle name="Percent 2 3" xfId="2468" hidden="1"/>
    <cellStyle name="Percent 2 3" xfId="3047" hidden="1"/>
    <cellStyle name="Percent 2 3" xfId="3592"/>
    <cellStyle name="Percent 2 4" xfId="2542" hidden="1"/>
    <cellStyle name="Percent 2 4" xfId="3121" hidden="1"/>
    <cellStyle name="Percent 2 4" xfId="3666"/>
    <cellStyle name="Percent 3" xfId="2264"/>
    <cellStyle name="Percent 4" xfId="837" hidden="1"/>
    <cellStyle name="Percent 4" xfId="921" hidden="1"/>
    <cellStyle name="Percent 4" xfId="1005" hidden="1"/>
    <cellStyle name="Percent 4" xfId="1097" hidden="1"/>
    <cellStyle name="Percent 4" xfId="2267"/>
    <cellStyle name="Percent 4 2" xfId="1221" hidden="1"/>
    <cellStyle name="Percent 4 3" xfId="1303" hidden="1"/>
    <cellStyle name="Percent 4 4" xfId="1388" hidden="1"/>
    <cellStyle name="Percent 4 5" xfId="1479" hidden="1"/>
    <cellStyle name="Percent 5" xfId="2324"/>
    <cellStyle name="Percent 6" xfId="3701"/>
    <cellStyle name="Percent 7" xfId="3746"/>
    <cellStyle name="Percent 8" xfId="739"/>
    <cellStyle name="Percent 9" xfId="784"/>
    <cellStyle name="Table - Average Row" xfId="58"/>
    <cellStyle name="Table - Costs" xfId="791"/>
    <cellStyle name="Table - Numbers" xfId="57"/>
    <cellStyle name="Table - Totals Row" xfId="52"/>
    <cellStyle name="Title" xfId="7" builtinId="15" hidden="1"/>
    <cellStyle name="Title" xfId="68" builtinId="15" hidden="1"/>
    <cellStyle name="Title" xfId="119" builtinId="15" hidden="1"/>
    <cellStyle name="Title" xfId="160" builtinId="15" hidden="1"/>
    <cellStyle name="Title" xfId="216" builtinId="15" hidden="1"/>
    <cellStyle name="Title" xfId="66" builtinId="15" hidden="1"/>
    <cellStyle name="Title" xfId="298" builtinId="15" hidden="1"/>
    <cellStyle name="Title" xfId="205" builtinId="15" hidden="1"/>
    <cellStyle name="Title" xfId="378" builtinId="15" hidden="1"/>
    <cellStyle name="Title" xfId="371" builtinId="15" hidden="1"/>
    <cellStyle name="Title" xfId="461" builtinId="15" hidden="1"/>
    <cellStyle name="Title" xfId="287" builtinId="15" hidden="1"/>
    <cellStyle name="Title" xfId="539" builtinId="15" hidden="1"/>
    <cellStyle name="Title" xfId="535" builtinId="15" hidden="1"/>
    <cellStyle name="Title" xfId="612" builtinId="15" hidden="1"/>
    <cellStyle name="Title" xfId="652" builtinId="15" hidden="1"/>
    <cellStyle name="Title" xfId="700" builtinId="15" hidden="1"/>
    <cellStyle name="Title" xfId="740" builtinId="15" hidden="1"/>
    <cellStyle name="Title" xfId="793" builtinId="15" hidden="1"/>
    <cellStyle name="Title" xfId="838" builtinId="15" hidden="1"/>
    <cellStyle name="Title" xfId="881" builtinId="15" hidden="1"/>
    <cellStyle name="Title" xfId="925" builtinId="15" hidden="1"/>
    <cellStyle name="Title" xfId="924" builtinId="15" hidden="1"/>
    <cellStyle name="Title" xfId="1010" builtinId="15" hidden="1"/>
    <cellStyle name="Title" xfId="1008" builtinId="15" hidden="1"/>
    <cellStyle name="Title" xfId="1094" builtinId="15" hidden="1"/>
    <cellStyle name="Title" xfId="1129" builtinId="15" hidden="1"/>
    <cellStyle name="Title" xfId="1178" builtinId="15" hidden="1"/>
    <cellStyle name="Title" xfId="1222" builtinId="15" hidden="1"/>
    <cellStyle name="Title" xfId="1264" builtinId="15" hidden="1"/>
    <cellStyle name="Title" xfId="1307" builtinId="15" hidden="1"/>
    <cellStyle name="Title" xfId="1306" builtinId="15" hidden="1"/>
    <cellStyle name="Title" xfId="1393" builtinId="15" hidden="1"/>
    <cellStyle name="Title" xfId="1391" builtinId="15" hidden="1"/>
    <cellStyle name="Title" xfId="1476" builtinId="15" hidden="1"/>
    <cellStyle name="Title" xfId="1508" builtinId="15" hidden="1"/>
    <cellStyle name="Title" xfId="1359" builtinId="15" hidden="1"/>
    <cellStyle name="Title" xfId="1558" builtinId="15" hidden="1"/>
    <cellStyle name="Title" xfId="1600" builtinId="15" hidden="1"/>
    <cellStyle name="Title" xfId="1643" builtinId="15" hidden="1"/>
    <cellStyle name="Title" xfId="1642" builtinId="15" hidden="1"/>
    <cellStyle name="Title" xfId="1728" builtinId="15" hidden="1"/>
    <cellStyle name="Title" xfId="1726" builtinId="15" hidden="1"/>
    <cellStyle name="Title" xfId="1814" builtinId="15" hidden="1"/>
    <cellStyle name="Title" xfId="1848" builtinId="15" hidden="1"/>
    <cellStyle name="Title" xfId="1599" builtinId="15" hidden="1"/>
    <cellStyle name="Title" xfId="1888" builtinId="15" hidden="1"/>
    <cellStyle name="Title" xfId="1928" builtinId="15" hidden="1"/>
    <cellStyle name="Title" xfId="1968" builtinId="15" hidden="1"/>
    <cellStyle name="Title" xfId="1967" builtinId="15" hidden="1"/>
    <cellStyle name="Title" xfId="2045" builtinId="15" hidden="1"/>
    <cellStyle name="Title" xfId="2043" builtinId="15" hidden="1"/>
    <cellStyle name="Title" xfId="2124" builtinId="15" hidden="1"/>
    <cellStyle name="Title" xfId="2153" builtinId="15" hidden="1"/>
    <cellStyle name="Title" xfId="1062" builtinId="15" hidden="1"/>
    <cellStyle name="Title" xfId="832" builtinId="15" hidden="1"/>
    <cellStyle name="Title" xfId="786" builtinId="15" hidden="1"/>
    <cellStyle name="Title" xfId="2272" builtinId="15" hidden="1"/>
    <cellStyle name="Title" xfId="2328" builtinId="15" hidden="1"/>
    <cellStyle name="Title" xfId="2375" builtinId="15" hidden="1"/>
    <cellStyle name="Title" xfId="2373" builtinId="15" hidden="1"/>
    <cellStyle name="Title" xfId="2374" builtinId="15" hidden="1"/>
    <cellStyle name="Title" xfId="2420" builtinId="15" hidden="1"/>
    <cellStyle name="Title" xfId="2544" builtinId="15" hidden="1"/>
    <cellStyle name="Title" xfId="2319" builtinId="15" hidden="1"/>
    <cellStyle name="Title" xfId="2625" builtinId="15" hidden="1"/>
    <cellStyle name="Title" xfId="2673" builtinId="15" hidden="1"/>
    <cellStyle name="Title" xfId="2671" builtinId="15" hidden="1"/>
    <cellStyle name="Title" xfId="2672" builtinId="15" hidden="1"/>
    <cellStyle name="Title" xfId="2718" builtinId="15" hidden="1"/>
    <cellStyle name="Title" xfId="2841" builtinId="15" hidden="1"/>
    <cellStyle name="Title" xfId="2614" builtinId="15" hidden="1"/>
    <cellStyle name="Title" xfId="2907" builtinId="15" hidden="1"/>
    <cellStyle name="Title" xfId="2954" builtinId="15" hidden="1"/>
    <cellStyle name="Title" xfId="2952" builtinId="15" hidden="1"/>
    <cellStyle name="Title" xfId="2953" builtinId="15" hidden="1"/>
    <cellStyle name="Title" xfId="2999" builtinId="15" hidden="1"/>
    <cellStyle name="Title" xfId="3123" builtinId="15" hidden="1"/>
    <cellStyle name="Title" xfId="2317" builtinId="15" hidden="1"/>
    <cellStyle name="Title" xfId="3191" builtinId="15" hidden="1"/>
    <cellStyle name="Title" xfId="3237" builtinId="15" hidden="1"/>
    <cellStyle name="Title" xfId="3235" builtinId="15" hidden="1"/>
    <cellStyle name="Title" xfId="3236" builtinId="15" hidden="1"/>
    <cellStyle name="Title" xfId="3282" builtinId="15" hidden="1"/>
    <cellStyle name="Title" xfId="3403" builtinId="15" hidden="1"/>
    <cellStyle name="Title" xfId="2899" builtinId="15" hidden="1"/>
    <cellStyle name="Title" xfId="3455" builtinId="15" hidden="1"/>
    <cellStyle name="Title" xfId="3500" builtinId="15" hidden="1"/>
    <cellStyle name="Title" xfId="3498" builtinId="15" hidden="1"/>
    <cellStyle name="Title" xfId="3499" builtinId="15" hidden="1"/>
    <cellStyle name="Title" xfId="3545" builtinId="15" hidden="1"/>
    <cellStyle name="Title" xfId="3668" builtinId="15" hidden="1"/>
    <cellStyle name="Title" xfId="3702" builtinId="15" hidden="1"/>
    <cellStyle name="Title" xfId="3750" builtinId="15" hidden="1"/>
    <cellStyle name="Total" xfId="19" builtinId="25" hidden="1"/>
    <cellStyle name="Total" xfId="80" builtinId="25" hidden="1"/>
    <cellStyle name="Total" xfId="131" builtinId="25" hidden="1"/>
    <cellStyle name="Total" xfId="172" builtinId="25" hidden="1"/>
    <cellStyle name="Total" xfId="228" builtinId="25" hidden="1"/>
    <cellStyle name="Total" xfId="110" builtinId="25" hidden="1"/>
    <cellStyle name="Total" xfId="310" builtinId="25" hidden="1"/>
    <cellStyle name="Total" xfId="173" builtinId="25" hidden="1"/>
    <cellStyle name="Total" xfId="390" builtinId="25" hidden="1"/>
    <cellStyle name="Total" xfId="418" builtinId="25" hidden="1"/>
    <cellStyle name="Total" xfId="473" builtinId="25" hidden="1"/>
    <cellStyle name="Total" xfId="290" builtinId="25" hidden="1"/>
    <cellStyle name="Total" xfId="551" builtinId="25" hidden="1"/>
    <cellStyle name="Total" xfId="580" builtinId="25" hidden="1"/>
    <cellStyle name="Total" xfId="624" builtinId="25" hidden="1"/>
    <cellStyle name="Total" xfId="664" builtinId="25" hidden="1"/>
    <cellStyle name="Total" xfId="712" builtinId="25" hidden="1"/>
    <cellStyle name="Total" xfId="752" builtinId="25" hidden="1"/>
    <cellStyle name="Total" xfId="804" builtinId="25" hidden="1"/>
    <cellStyle name="Total" xfId="850" builtinId="25" hidden="1"/>
    <cellStyle name="Total" xfId="892" builtinId="25" hidden="1"/>
    <cellStyle name="Total" xfId="937" builtinId="25" hidden="1"/>
    <cellStyle name="Total" xfId="974" builtinId="25" hidden="1"/>
    <cellStyle name="Total" xfId="1022" builtinId="25" hidden="1"/>
    <cellStyle name="Total" xfId="1061" builtinId="25" hidden="1"/>
    <cellStyle name="Total" xfId="1093" builtinId="25" hidden="1"/>
    <cellStyle name="Total" xfId="1140" builtinId="25" hidden="1"/>
    <cellStyle name="Total" xfId="1189" builtinId="25" hidden="1"/>
    <cellStyle name="Total" xfId="1234" builtinId="25" hidden="1"/>
    <cellStyle name="Total" xfId="1275" builtinId="25" hidden="1"/>
    <cellStyle name="Total" xfId="1319" builtinId="25" hidden="1"/>
    <cellStyle name="Total" xfId="1357" builtinId="25" hidden="1"/>
    <cellStyle name="Total" xfId="1405" builtinId="25" hidden="1"/>
    <cellStyle name="Total" xfId="1443" builtinId="25" hidden="1"/>
    <cellStyle name="Total" xfId="1475" builtinId="25" hidden="1"/>
    <cellStyle name="Total" xfId="1519" builtinId="25" hidden="1"/>
    <cellStyle name="Total" xfId="1214" builtinId="25" hidden="1"/>
    <cellStyle name="Total" xfId="1570" builtinId="25" hidden="1"/>
    <cellStyle name="Total" xfId="1611" builtinId="25" hidden="1"/>
    <cellStyle name="Total" xfId="1655" builtinId="25" hidden="1"/>
    <cellStyle name="Total" xfId="1693" builtinId="25" hidden="1"/>
    <cellStyle name="Total" xfId="1740" builtinId="25" hidden="1"/>
    <cellStyle name="Total" xfId="1780" builtinId="25" hidden="1"/>
    <cellStyle name="Total" xfId="1813" builtinId="25" hidden="1"/>
    <cellStyle name="Total" xfId="1859" builtinId="25" hidden="1"/>
    <cellStyle name="Total" xfId="1784" builtinId="25" hidden="1"/>
    <cellStyle name="Total" xfId="1900" builtinId="25" hidden="1"/>
    <cellStyle name="Total" xfId="1939" builtinId="25" hidden="1"/>
    <cellStyle name="Total" xfId="1980" builtinId="25" hidden="1"/>
    <cellStyle name="Total" xfId="2014" builtinId="25" hidden="1"/>
    <cellStyle name="Total" xfId="2057" builtinId="25" hidden="1"/>
    <cellStyle name="Total" xfId="2093" builtinId="25" hidden="1"/>
    <cellStyle name="Total" xfId="2123" builtinId="25" hidden="1"/>
    <cellStyle name="Total" xfId="2164" builtinId="25" hidden="1"/>
    <cellStyle name="Total" xfId="1557" builtinId="25" hidden="1"/>
    <cellStyle name="Total" xfId="2197" builtinId="25" hidden="1"/>
    <cellStyle name="Total" xfId="2229" builtinId="25" hidden="1"/>
    <cellStyle name="Total" xfId="2284" builtinId="25" hidden="1"/>
    <cellStyle name="Total" xfId="2340" builtinId="25" hidden="1"/>
    <cellStyle name="Total" xfId="2387" builtinId="25" hidden="1"/>
    <cellStyle name="Total" xfId="2431" builtinId="25" hidden="1"/>
    <cellStyle name="Total" xfId="2464" builtinId="25" hidden="1"/>
    <cellStyle name="Total" xfId="2508" builtinId="25" hidden="1"/>
    <cellStyle name="Total" xfId="2547" builtinId="25" hidden="1"/>
    <cellStyle name="Total" xfId="2581" builtinId="25" hidden="1"/>
    <cellStyle name="Total" xfId="2637" builtinId="25" hidden="1"/>
    <cellStyle name="Total" xfId="2685" builtinId="25" hidden="1"/>
    <cellStyle name="Total" xfId="2729" builtinId="25" hidden="1"/>
    <cellStyle name="Total" xfId="2762" builtinId="25" hidden="1"/>
    <cellStyle name="Total" xfId="2805" builtinId="25" hidden="1"/>
    <cellStyle name="Total" xfId="2844" builtinId="25" hidden="1"/>
    <cellStyle name="Total" xfId="2725" builtinId="25" hidden="1"/>
    <cellStyle name="Total" xfId="2919" builtinId="25" hidden="1"/>
    <cellStyle name="Total" xfId="2966" builtinId="25" hidden="1"/>
    <cellStyle name="Total" xfId="3010" builtinId="25" hidden="1"/>
    <cellStyle name="Total" xfId="3043" builtinId="25" hidden="1"/>
    <cellStyle name="Total" xfId="3087" builtinId="25" hidden="1"/>
    <cellStyle name="Total" xfId="3126" builtinId="25" hidden="1"/>
    <cellStyle name="Total" xfId="2687" builtinId="25" hidden="1"/>
    <cellStyle name="Total" xfId="3203" builtinId="25" hidden="1"/>
    <cellStyle name="Total" xfId="3249" builtinId="25" hidden="1"/>
    <cellStyle name="Total" xfId="3292" builtinId="25" hidden="1"/>
    <cellStyle name="Total" xfId="3324" builtinId="25" hidden="1"/>
    <cellStyle name="Total" xfId="3367" builtinId="25" hidden="1"/>
    <cellStyle name="Total" xfId="3406" builtinId="25" hidden="1"/>
    <cellStyle name="Total" xfId="2895" builtinId="25" hidden="1"/>
    <cellStyle name="Total" xfId="3467" builtinId="25" hidden="1"/>
    <cellStyle name="Total" xfId="3512" builtinId="25" hidden="1"/>
    <cellStyle name="Total" xfId="3555" builtinId="25" hidden="1"/>
    <cellStyle name="Total" xfId="3588" builtinId="25" hidden="1"/>
    <cellStyle name="Total" xfId="3632" builtinId="25" hidden="1"/>
    <cellStyle name="Total" xfId="3671" builtinId="25" hidden="1"/>
    <cellStyle name="Total" xfId="3714" builtinId="25" hidden="1"/>
    <cellStyle name="Total" xfId="3762" builtinId="25" hidden="1"/>
    <cellStyle name="Warning Text" xfId="16" builtinId="11" hidden="1"/>
    <cellStyle name="Warning Text" xfId="77" builtinId="11" hidden="1"/>
    <cellStyle name="Warning Text" xfId="128" builtinId="11" hidden="1"/>
    <cellStyle name="Warning Text" xfId="169" builtinId="11" hidden="1"/>
    <cellStyle name="Warning Text" xfId="225" builtinId="11" hidden="1"/>
    <cellStyle name="Warning Text" xfId="202" builtinId="11" hidden="1"/>
    <cellStyle name="Warning Text" xfId="307" builtinId="11" hidden="1"/>
    <cellStyle name="Warning Text" xfId="285" builtinId="11" hidden="1"/>
    <cellStyle name="Warning Text" xfId="387" builtinId="11" hidden="1"/>
    <cellStyle name="Warning Text" xfId="369" builtinId="11" hidden="1"/>
    <cellStyle name="Warning Text" xfId="470" builtinId="11" hidden="1"/>
    <cellStyle name="Warning Text" xfId="448" builtinId="11" hidden="1"/>
    <cellStyle name="Warning Text" xfId="548" builtinId="11" hidden="1"/>
    <cellStyle name="Warning Text" xfId="453" builtinId="11" hidden="1"/>
    <cellStyle name="Warning Text" xfId="621" builtinId="11" hidden="1"/>
    <cellStyle name="Warning Text" xfId="661" builtinId="11" hidden="1"/>
    <cellStyle name="Warning Text" xfId="709" builtinId="11" hidden="1"/>
    <cellStyle name="Warning Text" xfId="749" builtinId="11" hidden="1"/>
    <cellStyle name="Warning Text" xfId="802" builtinId="11" hidden="1"/>
    <cellStyle name="Warning Text" xfId="847" builtinId="11" hidden="1"/>
    <cellStyle name="Warning Text" xfId="890" builtinId="11" hidden="1"/>
    <cellStyle name="Warning Text" xfId="934" builtinId="11" hidden="1"/>
    <cellStyle name="Warning Text" xfId="920" builtinId="11" hidden="1"/>
    <cellStyle name="Warning Text" xfId="1019" builtinId="11" hidden="1"/>
    <cellStyle name="Warning Text" xfId="1004" builtinId="11" hidden="1"/>
    <cellStyle name="Warning Text" xfId="1091" builtinId="11" hidden="1"/>
    <cellStyle name="Warning Text" xfId="1138" builtinId="11" hidden="1"/>
    <cellStyle name="Warning Text" xfId="1187" builtinId="11" hidden="1"/>
    <cellStyle name="Warning Text" xfId="1231" builtinId="11" hidden="1"/>
    <cellStyle name="Warning Text" xfId="1273" builtinId="11" hidden="1"/>
    <cellStyle name="Warning Text" xfId="1316" builtinId="11" hidden="1"/>
    <cellStyle name="Warning Text" xfId="1302" builtinId="11" hidden="1"/>
    <cellStyle name="Warning Text" xfId="1402" builtinId="11" hidden="1"/>
    <cellStyle name="Warning Text" xfId="1387" builtinId="11" hidden="1"/>
    <cellStyle name="Warning Text" xfId="1473" builtinId="11" hidden="1"/>
    <cellStyle name="Warning Text" xfId="1517" builtinId="11" hidden="1"/>
    <cellStyle name="Warning Text" xfId="1301" builtinId="11" hidden="1"/>
    <cellStyle name="Warning Text" xfId="1567" builtinId="11" hidden="1"/>
    <cellStyle name="Warning Text" xfId="1609" builtinId="11" hidden="1"/>
    <cellStyle name="Warning Text" xfId="1652" builtinId="11" hidden="1"/>
    <cellStyle name="Warning Text" xfId="1639" builtinId="11" hidden="1"/>
    <cellStyle name="Warning Text" xfId="1737" builtinId="11" hidden="1"/>
    <cellStyle name="Warning Text" xfId="1723" builtinId="11" hidden="1"/>
    <cellStyle name="Warning Text" xfId="1811" builtinId="11" hidden="1"/>
    <cellStyle name="Warning Text" xfId="1857" builtinId="11" hidden="1"/>
    <cellStyle name="Warning Text" xfId="1820" builtinId="11" hidden="1"/>
    <cellStyle name="Warning Text" xfId="1897" builtinId="11" hidden="1"/>
    <cellStyle name="Warning Text" xfId="1937" builtinId="11" hidden="1"/>
    <cellStyle name="Warning Text" xfId="1977" builtinId="11" hidden="1"/>
    <cellStyle name="Warning Text" xfId="1964" builtinId="11" hidden="1"/>
    <cellStyle name="Warning Text" xfId="2054" builtinId="11" hidden="1"/>
    <cellStyle name="Warning Text" xfId="2040" builtinId="11" hidden="1"/>
    <cellStyle name="Warning Text" xfId="2121" builtinId="11" hidden="1"/>
    <cellStyle name="Warning Text" xfId="2162" builtinId="11" hidden="1"/>
    <cellStyle name="Warning Text" xfId="1235" builtinId="11" hidden="1"/>
    <cellStyle name="Warning Text" xfId="2194" builtinId="11" hidden="1"/>
    <cellStyle name="Warning Text" xfId="2199" builtinId="11" hidden="1"/>
    <cellStyle name="Warning Text" xfId="2281" builtinId="11" hidden="1"/>
    <cellStyle name="Warning Text" xfId="2337" builtinId="11" hidden="1"/>
    <cellStyle name="Warning Text" xfId="2384" builtinId="11" hidden="1"/>
    <cellStyle name="Warning Text" xfId="2388" builtinId="11" hidden="1"/>
    <cellStyle name="Warning Text" xfId="2462" builtinId="11" hidden="1"/>
    <cellStyle name="Warning Text" xfId="2467" builtinId="11" hidden="1"/>
    <cellStyle name="Warning Text" xfId="2541" builtinId="11" hidden="1"/>
    <cellStyle name="Warning Text" xfId="2578" builtinId="11" hidden="1"/>
    <cellStyle name="Warning Text" xfId="2634" builtinId="11" hidden="1"/>
    <cellStyle name="Warning Text" xfId="2682" builtinId="11" hidden="1"/>
    <cellStyle name="Warning Text" xfId="2686" builtinId="11" hidden="1"/>
    <cellStyle name="Warning Text" xfId="2760" builtinId="11" hidden="1"/>
    <cellStyle name="Warning Text" xfId="2765" builtinId="11" hidden="1"/>
    <cellStyle name="Warning Text" xfId="2838" builtinId="11" hidden="1"/>
    <cellStyle name="Warning Text" xfId="2665" builtinId="11" hidden="1"/>
    <cellStyle name="Warning Text" xfId="2916" builtinId="11" hidden="1"/>
    <cellStyle name="Warning Text" xfId="2963" builtinId="11" hidden="1"/>
    <cellStyle name="Warning Text" xfId="2967" builtinId="11" hidden="1"/>
    <cellStyle name="Warning Text" xfId="3041" builtinId="11" hidden="1"/>
    <cellStyle name="Warning Text" xfId="3046" builtinId="11" hidden="1"/>
    <cellStyle name="Warning Text" xfId="3120" builtinId="11" hidden="1"/>
    <cellStyle name="Warning Text" xfId="2904" builtinId="11" hidden="1"/>
    <cellStyle name="Warning Text" xfId="3200" builtinId="11" hidden="1"/>
    <cellStyle name="Warning Text" xfId="3246" builtinId="11" hidden="1"/>
    <cellStyle name="Warning Text" xfId="3250" builtinId="11" hidden="1"/>
    <cellStyle name="Warning Text" xfId="3322" builtinId="11" hidden="1"/>
    <cellStyle name="Warning Text" xfId="3327" builtinId="11" hidden="1"/>
    <cellStyle name="Warning Text" xfId="3400" builtinId="11" hidden="1"/>
    <cellStyle name="Warning Text" xfId="3253" builtinId="11" hidden="1"/>
    <cellStyle name="Warning Text" xfId="3464" builtinId="11" hidden="1"/>
    <cellStyle name="Warning Text" xfId="3509" builtinId="11" hidden="1"/>
    <cellStyle name="Warning Text" xfId="3513" builtinId="11" hidden="1"/>
    <cellStyle name="Warning Text" xfId="3586" builtinId="11" hidden="1"/>
    <cellStyle name="Warning Text" xfId="3591" builtinId="11" hidden="1"/>
    <cellStyle name="Warning Text" xfId="3665" builtinId="11" hidden="1"/>
    <cellStyle name="Warning Text" xfId="3711" builtinId="11" hidden="1"/>
    <cellStyle name="Warning Text" xfId="3759" builtinId="11" hidden="1"/>
  </cellStyles>
  <dxfs count="51">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numFmt numFmtId="166" formatCode="0.0%"/>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numFmt numFmtId="168" formatCode="&quot;$&quot;#,##0.00"/>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numFmt numFmtId="168" formatCode="&quot;$&quot;#,##0.00"/>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left" vertical="center" textRotation="0" wrapText="0" indent="0" justifyLastLine="0" shrinkToFit="0" readingOrder="0"/>
      <protection locked="1" hidden="0"/>
    </dxf>
    <dxf>
      <font>
        <strike val="0"/>
        <outline val="0"/>
        <shadow val="0"/>
        <u val="none"/>
        <vertAlign val="baseline"/>
        <sz val="10"/>
        <color indexed="8"/>
        <name val="Times New Roman"/>
        <scheme val="none"/>
      </font>
      <numFmt numFmtId="3" formatCode="#,##0"/>
      <alignment horizontal="left" vertical="center" textRotation="0" wrapText="0" indent="0" justifyLastLine="0" shrinkToFit="0" readingOrder="0"/>
      <protection locked="1" hidden="0"/>
    </dxf>
    <dxf>
      <font>
        <strike val="0"/>
        <outline val="0"/>
        <shadow val="0"/>
        <u val="none"/>
        <vertAlign val="baseline"/>
        <sz val="10"/>
        <color indexed="8"/>
        <name val="Times New Roman"/>
        <scheme val="none"/>
      </font>
      <alignment horizontal="center" vertical="center" textRotation="0" wrapText="0" indent="0" justifyLastLine="0" shrinkToFit="0" readingOrder="0"/>
      <protection locked="1" hidden="0"/>
    </dxf>
    <dxf>
      <font>
        <strike val="0"/>
        <outline val="0"/>
        <shadow val="0"/>
        <u val="none"/>
        <vertAlign val="baseline"/>
        <sz val="10"/>
        <color indexed="8"/>
        <name val="Cambria"/>
        <scheme val="major"/>
      </font>
      <alignment horizontal="center" vertical="center" textRotation="0" wrapText="0" indent="0" justifyLastLine="0" shrinkToFit="0" readingOrder="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horizontal="center" vertical="center" textRotation="0" wrapText="1" indent="0" justifyLastLine="0" shrinkToFit="0" readingOrder="0"/>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top/>
      </border>
      <protection locked="1" hidden="0"/>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0" relative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8.PNG"/><Relationship Id="rId1" Type="http://schemas.openxmlformats.org/officeDocument/2006/relationships/image" Target="../media/image2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21.emf"/><Relationship Id="rId3" Type="http://schemas.openxmlformats.org/officeDocument/2006/relationships/image" Target="../media/image6.emf"/><Relationship Id="rId21" Type="http://schemas.openxmlformats.org/officeDocument/2006/relationships/image" Target="../media/image24.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20.emf"/><Relationship Id="rId2" Type="http://schemas.openxmlformats.org/officeDocument/2006/relationships/image" Target="../media/image5.emf"/><Relationship Id="rId16" Type="http://schemas.openxmlformats.org/officeDocument/2006/relationships/image" Target="../media/image19.emf"/><Relationship Id="rId20" Type="http://schemas.openxmlformats.org/officeDocument/2006/relationships/image" Target="../media/image23.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14.emf"/><Relationship Id="rId5" Type="http://schemas.openxmlformats.org/officeDocument/2006/relationships/image" Target="../media/image8.emf"/><Relationship Id="rId15" Type="http://schemas.openxmlformats.org/officeDocument/2006/relationships/image" Target="../media/image18.emf"/><Relationship Id="rId23" Type="http://schemas.openxmlformats.org/officeDocument/2006/relationships/image" Target="../media/image26.emf"/><Relationship Id="rId10" Type="http://schemas.openxmlformats.org/officeDocument/2006/relationships/image" Target="../media/image13.emf"/><Relationship Id="rId19" Type="http://schemas.openxmlformats.org/officeDocument/2006/relationships/image" Target="../media/image22.emf"/><Relationship Id="rId4" Type="http://schemas.openxmlformats.org/officeDocument/2006/relationships/image" Target="../media/image7.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5.emf"/></Relationships>
</file>

<file path=xl/drawings/drawing1.xml><?xml version="1.0" encoding="utf-8"?>
<xdr:wsDr xmlns:xdr="http://schemas.openxmlformats.org/drawingml/2006/spreadsheetDrawing" xmlns:a="http://schemas.openxmlformats.org/drawingml/2006/main">
  <xdr:twoCellAnchor editAs="oneCell">
    <xdr:from>
      <xdr:col>22</xdr:col>
      <xdr:colOff>66675</xdr:colOff>
      <xdr:row>0</xdr:row>
      <xdr:rowOff>57150</xdr:rowOff>
    </xdr:from>
    <xdr:to>
      <xdr:col>31</xdr:col>
      <xdr:colOff>181134</xdr:colOff>
      <xdr:row>0</xdr:row>
      <xdr:rowOff>337590</xdr:rowOff>
    </xdr:to>
    <xdr:pic>
      <xdr:nvPicPr>
        <xdr:cNvPr id="2" name="Picture 1"/>
        <xdr:cNvPicPr>
          <a:picLocks noChangeAspect="1"/>
        </xdr:cNvPicPr>
      </xdr:nvPicPr>
      <xdr:blipFill>
        <a:blip xmlns:r="http://schemas.openxmlformats.org/officeDocument/2006/relationships" r:embed="rId1"/>
        <a:stretch>
          <a:fillRect/>
        </a:stretch>
      </xdr:blipFill>
      <xdr:spPr>
        <a:xfrm>
          <a:off x="4305300" y="152400"/>
          <a:ext cx="1828959" cy="280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342900</xdr:colOff>
          <xdr:row>4</xdr:row>
          <xdr:rowOff>28575</xdr:rowOff>
        </xdr:from>
        <xdr:to>
          <xdr:col>6</xdr:col>
          <xdr:colOff>1609725</xdr:colOff>
          <xdr:row>5</xdr:row>
          <xdr:rowOff>28575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209550</xdr:colOff>
      <xdr:row>0</xdr:row>
      <xdr:rowOff>47625</xdr:rowOff>
    </xdr:from>
    <xdr:to>
      <xdr:col>6</xdr:col>
      <xdr:colOff>2038509</xdr:colOff>
      <xdr:row>0</xdr:row>
      <xdr:rowOff>328065</xdr:rowOff>
    </xdr:to>
    <xdr:pic>
      <xdr:nvPicPr>
        <xdr:cNvPr id="8" name="Picture 7"/>
        <xdr:cNvPicPr>
          <a:picLocks noChangeAspect="1"/>
        </xdr:cNvPicPr>
      </xdr:nvPicPr>
      <xdr:blipFill>
        <a:blip xmlns:r="http://schemas.openxmlformats.org/officeDocument/2006/relationships" r:embed="rId1"/>
        <a:stretch>
          <a:fillRect/>
        </a:stretch>
      </xdr:blipFill>
      <xdr:spPr>
        <a:xfrm>
          <a:off x="4305300" y="142875"/>
          <a:ext cx="1828959" cy="2804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866775</xdr:colOff>
          <xdr:row>6</xdr:row>
          <xdr:rowOff>0</xdr:rowOff>
        </xdr:from>
        <xdr:to>
          <xdr:col>6</xdr:col>
          <xdr:colOff>1085850</xdr:colOff>
          <xdr:row>7</xdr:row>
          <xdr:rowOff>171450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600075</xdr:colOff>
      <xdr:row>0</xdr:row>
      <xdr:rowOff>47625</xdr:rowOff>
    </xdr:from>
    <xdr:to>
      <xdr:col>8</xdr:col>
      <xdr:colOff>571659</xdr:colOff>
      <xdr:row>0</xdr:row>
      <xdr:rowOff>328065</xdr:rowOff>
    </xdr:to>
    <xdr:pic>
      <xdr:nvPicPr>
        <xdr:cNvPr id="5" name="Picture 4"/>
        <xdr:cNvPicPr>
          <a:picLocks noChangeAspect="1"/>
        </xdr:cNvPicPr>
      </xdr:nvPicPr>
      <xdr:blipFill>
        <a:blip xmlns:r="http://schemas.openxmlformats.org/officeDocument/2006/relationships" r:embed="rId1"/>
        <a:stretch>
          <a:fillRect/>
        </a:stretch>
      </xdr:blipFill>
      <xdr:spPr>
        <a:xfrm>
          <a:off x="4314825" y="142875"/>
          <a:ext cx="1828959" cy="280440"/>
        </a:xfrm>
        <a:prstGeom prst="rect">
          <a:avLst/>
        </a:prstGeom>
      </xdr:spPr>
    </xdr:pic>
    <xdr:clientData/>
  </xdr:twoCellAnchor>
  <xdr:twoCellAnchor editAs="oneCell">
    <xdr:from>
      <xdr:col>15</xdr:col>
      <xdr:colOff>114300</xdr:colOff>
      <xdr:row>0</xdr:row>
      <xdr:rowOff>66675</xdr:rowOff>
    </xdr:from>
    <xdr:to>
      <xdr:col>17</xdr:col>
      <xdr:colOff>562134</xdr:colOff>
      <xdr:row>0</xdr:row>
      <xdr:rowOff>347115</xdr:rowOff>
    </xdr:to>
    <xdr:pic>
      <xdr:nvPicPr>
        <xdr:cNvPr id="6" name="Picture 5"/>
        <xdr:cNvPicPr>
          <a:picLocks noChangeAspect="1"/>
        </xdr:cNvPicPr>
      </xdr:nvPicPr>
      <xdr:blipFill>
        <a:blip xmlns:r="http://schemas.openxmlformats.org/officeDocument/2006/relationships" r:embed="rId1"/>
        <a:stretch>
          <a:fillRect/>
        </a:stretch>
      </xdr:blipFill>
      <xdr:spPr>
        <a:xfrm>
          <a:off x="10496550" y="66675"/>
          <a:ext cx="1828959"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1228724</xdr:colOff>
      <xdr:row>72</xdr:row>
      <xdr:rowOff>0</xdr:rowOff>
    </xdr:from>
    <xdr:to>
      <xdr:col>4</xdr:col>
      <xdr:colOff>409574</xdr:colOff>
      <xdr:row>86</xdr:row>
      <xdr:rowOff>76200</xdr:rowOff>
    </xdr:to>
    <xdr:sp macro="" textlink="">
      <xdr:nvSpPr>
        <xdr:cNvPr id="2" name="Rectangle 1"/>
        <xdr:cNvSpPr/>
      </xdr:nvSpPr>
      <xdr:spPr>
        <a:xfrm>
          <a:off x="7419974" y="4514850"/>
          <a:ext cx="3657600" cy="2743200"/>
        </a:xfrm>
        <a:prstGeom prst="rect">
          <a:avLst/>
        </a:prstGeom>
        <a:solidFill>
          <a:schemeClr val="accent3">
            <a:lumMod val="40000"/>
            <a:lumOff val="60000"/>
          </a:schemeClr>
        </a:solidFill>
        <a:ln w="1270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0">
              <a:solidFill>
                <a:sysClr val="windowText" lastClr="000000"/>
              </a:solidFill>
              <a:latin typeface="Times New Roman" pitchFamily="18" charset="0"/>
              <a:cs typeface="Times New Roman" pitchFamily="18" charset="0"/>
            </a:rPr>
            <a:t>Pictures of</a:t>
          </a:r>
          <a:r>
            <a:rPr lang="en-US" sz="1100" b="0" baseline="0">
              <a:solidFill>
                <a:sysClr val="windowText" lastClr="000000"/>
              </a:solidFill>
              <a:latin typeface="Times New Roman" pitchFamily="18" charset="0"/>
              <a:cs typeface="Times New Roman" pitchFamily="18" charset="0"/>
            </a:rPr>
            <a:t> Room</a:t>
          </a:r>
        </a:p>
        <a:p>
          <a:pPr algn="ctr"/>
          <a:r>
            <a:rPr lang="en-US" sz="1100" b="1" i="1" baseline="0">
              <a:solidFill>
                <a:sysClr val="windowText" lastClr="000000"/>
              </a:solidFill>
              <a:latin typeface="Times New Roman" pitchFamily="18" charset="0"/>
              <a:cs typeface="Times New Roman" pitchFamily="18" charset="0"/>
            </a:rPr>
            <a:t>AND/OR</a:t>
          </a:r>
        </a:p>
        <a:p>
          <a:pPr algn="ctr"/>
          <a:r>
            <a:rPr lang="en-US" sz="1100" b="0" i="0" baseline="0">
              <a:solidFill>
                <a:sysClr val="windowText" lastClr="000000"/>
              </a:solidFill>
              <a:latin typeface="Times New Roman" pitchFamily="18" charset="0"/>
              <a:cs typeface="Times New Roman" pitchFamily="18" charset="0"/>
            </a:rPr>
            <a:t>Room Highlighted on Facility Map</a:t>
          </a:r>
          <a:endParaRPr lang="en-US" sz="1100" b="0" i="0">
            <a:solidFill>
              <a:sysClr val="windowText" lastClr="000000"/>
            </a:solidFill>
            <a:latin typeface="Times New Roman" pitchFamily="18" charset="0"/>
            <a:cs typeface="Times New Roman" pitchFamily="18" charset="0"/>
          </a:endParaRPr>
        </a:p>
      </xdr:txBody>
    </xdr:sp>
    <xdr:clientData/>
  </xdr:twoCellAnchor>
  <xdr:twoCellAnchor editAs="oneCell">
    <xdr:from>
      <xdr:col>3</xdr:col>
      <xdr:colOff>866775</xdr:colOff>
      <xdr:row>0</xdr:row>
      <xdr:rowOff>57150</xdr:rowOff>
    </xdr:from>
    <xdr:to>
      <xdr:col>5</xdr:col>
      <xdr:colOff>314484</xdr:colOff>
      <xdr:row>0</xdr:row>
      <xdr:rowOff>337590</xdr:rowOff>
    </xdr:to>
    <xdr:pic>
      <xdr:nvPicPr>
        <xdr:cNvPr id="3" name="Picture 2"/>
        <xdr:cNvPicPr>
          <a:picLocks noChangeAspect="1"/>
        </xdr:cNvPicPr>
      </xdr:nvPicPr>
      <xdr:blipFill>
        <a:blip xmlns:r="http://schemas.openxmlformats.org/officeDocument/2006/relationships" r:embed="rId1"/>
        <a:stretch>
          <a:fillRect/>
        </a:stretch>
      </xdr:blipFill>
      <xdr:spPr>
        <a:xfrm>
          <a:off x="4295775" y="152400"/>
          <a:ext cx="1828959" cy="280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7</xdr:row>
          <xdr:rowOff>161925</xdr:rowOff>
        </xdr:from>
        <xdr:to>
          <xdr:col>4</xdr:col>
          <xdr:colOff>1133475</xdr:colOff>
          <xdr:row>11</xdr:row>
          <xdr:rowOff>47625</xdr:rowOff>
        </xdr:to>
        <xdr:sp macro="" textlink="">
          <xdr:nvSpPr>
            <xdr:cNvPr id="13335" name="Object 23" hidden="1">
              <a:extLst>
                <a:ext uri="{63B3BB69-23CF-44E3-9099-C40C66FF867C}">
                  <a14:compatExt spid="_x0000_s1333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866775</xdr:colOff>
      <xdr:row>0</xdr:row>
      <xdr:rowOff>0</xdr:rowOff>
    </xdr:from>
    <xdr:to>
      <xdr:col>5</xdr:col>
      <xdr:colOff>314484</xdr:colOff>
      <xdr:row>0</xdr:row>
      <xdr:rowOff>280440</xdr:rowOff>
    </xdr:to>
    <xdr:pic>
      <xdr:nvPicPr>
        <xdr:cNvPr id="3" name="Picture 2"/>
        <xdr:cNvPicPr>
          <a:picLocks noChangeAspect="1"/>
        </xdr:cNvPicPr>
      </xdr:nvPicPr>
      <xdr:blipFill>
        <a:blip xmlns:r="http://schemas.openxmlformats.org/officeDocument/2006/relationships" r:embed="rId1"/>
        <a:stretch>
          <a:fillRect/>
        </a:stretch>
      </xdr:blipFill>
      <xdr:spPr>
        <a:xfrm>
          <a:off x="4295775" y="0"/>
          <a:ext cx="1828959" cy="280440"/>
        </a:xfrm>
        <a:prstGeom prst="rect">
          <a:avLst/>
        </a:prstGeom>
      </xdr:spPr>
    </xdr:pic>
    <xdr:clientData/>
  </xdr:twoCellAnchor>
  <xdr:twoCellAnchor editAs="oneCell">
    <xdr:from>
      <xdr:col>3</xdr:col>
      <xdr:colOff>866775</xdr:colOff>
      <xdr:row>0</xdr:row>
      <xdr:rowOff>0</xdr:rowOff>
    </xdr:from>
    <xdr:to>
      <xdr:col>5</xdr:col>
      <xdr:colOff>314484</xdr:colOff>
      <xdr:row>0</xdr:row>
      <xdr:rowOff>280440</xdr:rowOff>
    </xdr:to>
    <xdr:pic>
      <xdr:nvPicPr>
        <xdr:cNvPr id="4" name="Picture 3"/>
        <xdr:cNvPicPr>
          <a:picLocks noChangeAspect="1"/>
        </xdr:cNvPicPr>
      </xdr:nvPicPr>
      <xdr:blipFill>
        <a:blip xmlns:r="http://schemas.openxmlformats.org/officeDocument/2006/relationships" r:embed="rId1"/>
        <a:stretch>
          <a:fillRect/>
        </a:stretch>
      </xdr:blipFill>
      <xdr:spPr>
        <a:xfrm>
          <a:off x="4295775" y="0"/>
          <a:ext cx="1828959" cy="2804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685800</xdr:colOff>
          <xdr:row>4</xdr:row>
          <xdr:rowOff>180975</xdr:rowOff>
        </xdr:from>
        <xdr:to>
          <xdr:col>0</xdr:col>
          <xdr:colOff>1190625</xdr:colOff>
          <xdr:row>6</xdr:row>
          <xdr:rowOff>28575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809625</xdr:colOff>
          <xdr:row>6</xdr:row>
          <xdr:rowOff>152400</xdr:rowOff>
        </xdr:from>
        <xdr:to>
          <xdr:col>0</xdr:col>
          <xdr:colOff>1066800</xdr:colOff>
          <xdr:row>9</xdr:row>
          <xdr:rowOff>9525</xdr:rowOff>
        </xdr:to>
        <xdr:sp macro="" textlink="">
          <xdr:nvSpPr>
            <xdr:cNvPr id="13315" name="Object 3" hidden="1">
              <a:extLst>
                <a:ext uri="{63B3BB69-23CF-44E3-9099-C40C66FF867C}">
                  <a14:compatExt spid="_x0000_s1331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9</xdr:row>
          <xdr:rowOff>161925</xdr:rowOff>
        </xdr:from>
        <xdr:to>
          <xdr:col>0</xdr:col>
          <xdr:colOff>1352550</xdr:colOff>
          <xdr:row>11</xdr:row>
          <xdr:rowOff>9525</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171450</xdr:rowOff>
        </xdr:from>
        <xdr:to>
          <xdr:col>0</xdr:col>
          <xdr:colOff>1533525</xdr:colOff>
          <xdr:row>13</xdr:row>
          <xdr:rowOff>19050</xdr:rowOff>
        </xdr:to>
        <xdr:sp macro="" textlink="">
          <xdr:nvSpPr>
            <xdr:cNvPr id="13317" name="Object 5" hidden="1">
              <a:extLst>
                <a:ext uri="{63B3BB69-23CF-44E3-9099-C40C66FF867C}">
                  <a14:compatExt spid="_x0000_s133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15</xdr:row>
          <xdr:rowOff>152400</xdr:rowOff>
        </xdr:from>
        <xdr:to>
          <xdr:col>0</xdr:col>
          <xdr:colOff>1190625</xdr:colOff>
          <xdr:row>17</xdr:row>
          <xdr:rowOff>0</xdr:rowOff>
        </xdr:to>
        <xdr:sp macro="" textlink="">
          <xdr:nvSpPr>
            <xdr:cNvPr id="13318" name="Object 6" hidden="1">
              <a:extLst>
                <a:ext uri="{63B3BB69-23CF-44E3-9099-C40C66FF867C}">
                  <a14:compatExt spid="_x0000_s1331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819150</xdr:colOff>
          <xdr:row>17</xdr:row>
          <xdr:rowOff>142875</xdr:rowOff>
        </xdr:from>
        <xdr:to>
          <xdr:col>0</xdr:col>
          <xdr:colOff>1057275</xdr:colOff>
          <xdr:row>20</xdr:row>
          <xdr:rowOff>28575</xdr:rowOff>
        </xdr:to>
        <xdr:sp macro="" textlink="">
          <xdr:nvSpPr>
            <xdr:cNvPr id="13319" name="Object 7" hidden="1">
              <a:extLst>
                <a:ext uri="{63B3BB69-23CF-44E3-9099-C40C66FF867C}">
                  <a14:compatExt spid="_x0000_s1331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22</xdr:row>
          <xdr:rowOff>161925</xdr:rowOff>
        </xdr:from>
        <xdr:to>
          <xdr:col>0</xdr:col>
          <xdr:colOff>1552575</xdr:colOff>
          <xdr:row>24</xdr:row>
          <xdr:rowOff>9525</xdr:rowOff>
        </xdr:to>
        <xdr:sp macro="" textlink="">
          <xdr:nvSpPr>
            <xdr:cNvPr id="13320" name="Object 8" hidden="1">
              <a:extLst>
                <a:ext uri="{63B3BB69-23CF-44E3-9099-C40C66FF867C}">
                  <a14:compatExt spid="_x0000_s1332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21</xdr:row>
          <xdr:rowOff>0</xdr:rowOff>
        </xdr:from>
        <xdr:to>
          <xdr:col>0</xdr:col>
          <xdr:colOff>1381125</xdr:colOff>
          <xdr:row>22</xdr:row>
          <xdr:rowOff>38100</xdr:rowOff>
        </xdr:to>
        <xdr:sp macro="" textlink="">
          <xdr:nvSpPr>
            <xdr:cNvPr id="13321" name="Object 9" hidden="1">
              <a:extLst>
                <a:ext uri="{63B3BB69-23CF-44E3-9099-C40C66FF867C}">
                  <a14:compatExt spid="_x0000_s1332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26</xdr:row>
          <xdr:rowOff>171450</xdr:rowOff>
        </xdr:from>
        <xdr:to>
          <xdr:col>0</xdr:col>
          <xdr:colOff>1495425</xdr:colOff>
          <xdr:row>28</xdr:row>
          <xdr:rowOff>171450</xdr:rowOff>
        </xdr:to>
        <xdr:sp macro="" textlink="">
          <xdr:nvSpPr>
            <xdr:cNvPr id="13322" name="Object 10" hidden="1">
              <a:extLst>
                <a:ext uri="{63B3BB69-23CF-44E3-9099-C40C66FF867C}">
                  <a14:compatExt spid="_x0000_s1332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30</xdr:row>
          <xdr:rowOff>85725</xdr:rowOff>
        </xdr:from>
        <xdr:to>
          <xdr:col>0</xdr:col>
          <xdr:colOff>1076325</xdr:colOff>
          <xdr:row>31</xdr:row>
          <xdr:rowOff>133350</xdr:rowOff>
        </xdr:to>
        <xdr:sp macro="" textlink="">
          <xdr:nvSpPr>
            <xdr:cNvPr id="13323" name="Object 11" hidden="1">
              <a:extLst>
                <a:ext uri="{63B3BB69-23CF-44E3-9099-C40C66FF867C}">
                  <a14:compatExt spid="_x0000_s1332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5</xdr:row>
          <xdr:rowOff>0</xdr:rowOff>
        </xdr:from>
        <xdr:to>
          <xdr:col>4</xdr:col>
          <xdr:colOff>390525</xdr:colOff>
          <xdr:row>7</xdr:row>
          <xdr:rowOff>9525</xdr:rowOff>
        </xdr:to>
        <xdr:sp macro="" textlink="">
          <xdr:nvSpPr>
            <xdr:cNvPr id="13324" name="Object 12" hidden="1">
              <a:extLst>
                <a:ext uri="{63B3BB69-23CF-44E3-9099-C40C66FF867C}">
                  <a14:compatExt spid="_x0000_s1332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11</xdr:row>
          <xdr:rowOff>180975</xdr:rowOff>
        </xdr:from>
        <xdr:to>
          <xdr:col>4</xdr:col>
          <xdr:colOff>123825</xdr:colOff>
          <xdr:row>14</xdr:row>
          <xdr:rowOff>38100</xdr:rowOff>
        </xdr:to>
        <xdr:sp macro="" textlink="">
          <xdr:nvSpPr>
            <xdr:cNvPr id="13325" name="Object 13" hidden="1">
              <a:extLst>
                <a:ext uri="{63B3BB69-23CF-44E3-9099-C40C66FF867C}">
                  <a14:compatExt spid="_x0000_s133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16</xdr:row>
          <xdr:rowOff>171450</xdr:rowOff>
        </xdr:from>
        <xdr:to>
          <xdr:col>4</xdr:col>
          <xdr:colOff>438150</xdr:colOff>
          <xdr:row>18</xdr:row>
          <xdr:rowOff>19050</xdr:rowOff>
        </xdr:to>
        <xdr:sp macro="" textlink="">
          <xdr:nvSpPr>
            <xdr:cNvPr id="13326" name="Object 14" hidden="1">
              <a:extLst>
                <a:ext uri="{63B3BB69-23CF-44E3-9099-C40C66FF867C}">
                  <a14:compatExt spid="_x0000_s133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18</xdr:row>
          <xdr:rowOff>171450</xdr:rowOff>
        </xdr:from>
        <xdr:to>
          <xdr:col>4</xdr:col>
          <xdr:colOff>314325</xdr:colOff>
          <xdr:row>20</xdr:row>
          <xdr:rowOff>19050</xdr:rowOff>
        </xdr:to>
        <xdr:sp macro="" textlink="">
          <xdr:nvSpPr>
            <xdr:cNvPr id="13327" name="Object 15" hidden="1">
              <a:extLst>
                <a:ext uri="{63B3BB69-23CF-44E3-9099-C40C66FF867C}">
                  <a14:compatExt spid="_x0000_s133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21</xdr:row>
          <xdr:rowOff>0</xdr:rowOff>
        </xdr:from>
        <xdr:to>
          <xdr:col>4</xdr:col>
          <xdr:colOff>323850</xdr:colOff>
          <xdr:row>22</xdr:row>
          <xdr:rowOff>38100</xdr:rowOff>
        </xdr:to>
        <xdr:sp macro="" textlink="">
          <xdr:nvSpPr>
            <xdr:cNvPr id="13328" name="Object 16" hidden="1">
              <a:extLst>
                <a:ext uri="{63B3BB69-23CF-44E3-9099-C40C66FF867C}">
                  <a14:compatExt spid="_x0000_s133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23</xdr:row>
          <xdr:rowOff>0</xdr:rowOff>
        </xdr:from>
        <xdr:to>
          <xdr:col>4</xdr:col>
          <xdr:colOff>352425</xdr:colOff>
          <xdr:row>24</xdr:row>
          <xdr:rowOff>38100</xdr:rowOff>
        </xdr:to>
        <xdr:sp macro="" textlink="">
          <xdr:nvSpPr>
            <xdr:cNvPr id="13329" name="Object 17" hidden="1">
              <a:extLst>
                <a:ext uri="{63B3BB69-23CF-44E3-9099-C40C66FF867C}">
                  <a14:compatExt spid="_x0000_s133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25</xdr:row>
          <xdr:rowOff>0</xdr:rowOff>
        </xdr:from>
        <xdr:to>
          <xdr:col>4</xdr:col>
          <xdr:colOff>676275</xdr:colOff>
          <xdr:row>26</xdr:row>
          <xdr:rowOff>38100</xdr:rowOff>
        </xdr:to>
        <xdr:sp macro="" textlink="">
          <xdr:nvSpPr>
            <xdr:cNvPr id="13330" name="Object 18" hidden="1">
              <a:extLst>
                <a:ext uri="{63B3BB69-23CF-44E3-9099-C40C66FF867C}">
                  <a14:compatExt spid="_x0000_s133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29</xdr:row>
          <xdr:rowOff>66675</xdr:rowOff>
        </xdr:from>
        <xdr:to>
          <xdr:col>4</xdr:col>
          <xdr:colOff>1009650</xdr:colOff>
          <xdr:row>30</xdr:row>
          <xdr:rowOff>104775</xdr:rowOff>
        </xdr:to>
        <xdr:sp macro="" textlink="">
          <xdr:nvSpPr>
            <xdr:cNvPr id="13331" name="Object 19" hidden="1">
              <a:extLst>
                <a:ext uri="{63B3BB69-23CF-44E3-9099-C40C66FF867C}">
                  <a14:compatExt spid="_x0000_s1333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32</xdr:row>
          <xdr:rowOff>85725</xdr:rowOff>
        </xdr:from>
        <xdr:to>
          <xdr:col>5</xdr:col>
          <xdr:colOff>352425</xdr:colOff>
          <xdr:row>33</xdr:row>
          <xdr:rowOff>123825</xdr:rowOff>
        </xdr:to>
        <xdr:sp macro="" textlink="">
          <xdr:nvSpPr>
            <xdr:cNvPr id="13332" name="Object 20" hidden="1">
              <a:extLst>
                <a:ext uri="{63B3BB69-23CF-44E3-9099-C40C66FF867C}">
                  <a14:compatExt spid="_x0000_s1333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35</xdr:row>
          <xdr:rowOff>0</xdr:rowOff>
        </xdr:from>
        <xdr:to>
          <xdr:col>4</xdr:col>
          <xdr:colOff>285750</xdr:colOff>
          <xdr:row>36</xdr:row>
          <xdr:rowOff>38100</xdr:rowOff>
        </xdr:to>
        <xdr:sp macro="" textlink="">
          <xdr:nvSpPr>
            <xdr:cNvPr id="13333" name="Object 21" hidden="1">
              <a:extLst>
                <a:ext uri="{63B3BB69-23CF-44E3-9099-C40C66FF867C}">
                  <a14:compatExt spid="_x0000_s133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1133475</xdr:colOff>
          <xdr:row>40</xdr:row>
          <xdr:rowOff>0</xdr:rowOff>
        </xdr:from>
        <xdr:to>
          <xdr:col>4</xdr:col>
          <xdr:colOff>123825</xdr:colOff>
          <xdr:row>42</xdr:row>
          <xdr:rowOff>9525</xdr:rowOff>
        </xdr:to>
        <xdr:sp macro="" textlink="">
          <xdr:nvSpPr>
            <xdr:cNvPr id="13334" name="Object 22" hidden="1">
              <a:extLst>
                <a:ext uri="{63B3BB69-23CF-44E3-9099-C40C66FF867C}">
                  <a14:compatExt spid="_x0000_s1333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37</xdr:row>
          <xdr:rowOff>47625</xdr:rowOff>
        </xdr:from>
        <xdr:to>
          <xdr:col>4</xdr:col>
          <xdr:colOff>952500</xdr:colOff>
          <xdr:row>38</xdr:row>
          <xdr:rowOff>142875</xdr:rowOff>
        </xdr:to>
        <xdr:sp macro="" textlink="">
          <xdr:nvSpPr>
            <xdr:cNvPr id="13336" name="Object 24" hidden="1">
              <a:extLst>
                <a:ext uri="{63B3BB69-23CF-44E3-9099-C40C66FF867C}">
                  <a14:compatExt spid="_x0000_s1333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3</xdr:col>
      <xdr:colOff>1152525</xdr:colOff>
      <xdr:row>17</xdr:row>
      <xdr:rowOff>38100</xdr:rowOff>
    </xdr:from>
    <xdr:to>
      <xdr:col>16</xdr:col>
      <xdr:colOff>29503</xdr:colOff>
      <xdr:row>38</xdr:row>
      <xdr:rowOff>114785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4100" y="3352800"/>
          <a:ext cx="6649378" cy="3477110"/>
        </a:xfrm>
        <a:prstGeom prst="rect">
          <a:avLst/>
        </a:prstGeom>
      </xdr:spPr>
    </xdr:pic>
    <xdr:clientData/>
  </xdr:twoCellAnchor>
  <xdr:twoCellAnchor editAs="oneCell">
    <xdr:from>
      <xdr:col>0</xdr:col>
      <xdr:colOff>1</xdr:colOff>
      <xdr:row>17</xdr:row>
      <xdr:rowOff>19050</xdr:rowOff>
    </xdr:from>
    <xdr:to>
      <xdr:col>3</xdr:col>
      <xdr:colOff>1133476</xdr:colOff>
      <xdr:row>38</xdr:row>
      <xdr:rowOff>155762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3333750"/>
          <a:ext cx="6115050" cy="35371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20EEC%20Projects%20&amp;%20Reports\1%20Active%20Projects%20&amp;%20Reports\2011-2016%20DOE%20IAC%20Grant\OR0639%20RFP%20Riddle%20EWP\3%20Report%20Generation\3%20Assessment%20Recommendations\AR%232%20-%20Upgrade%20and%20Reduce%20Lighting\EWP%20LIGHIT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Data Export"/>
      <sheetName val="Narrative"/>
      <sheetName val="Calculation"/>
      <sheetName val="Summary"/>
      <sheetName val="(1)"/>
      <sheetName val="(2)"/>
      <sheetName val="Equation Sheet"/>
      <sheetName val="Fixture Data"/>
    </sheetNames>
    <sheetDataSet>
      <sheetData sheetId="0">
        <row r="3">
          <cell r="A3" t="str">
            <v>#</v>
          </cell>
        </row>
      </sheetData>
      <sheetData sheetId="1">
        <row r="2">
          <cell r="A2" t="str">
            <v>Lighting Analysis Template Apr. 2014a, style 2013b</v>
          </cell>
        </row>
      </sheetData>
      <sheetData sheetId="2"/>
      <sheetData sheetId="3"/>
      <sheetData sheetId="4"/>
      <sheetData sheetId="5"/>
      <sheetData sheetId="6"/>
      <sheetData sheetId="7"/>
    </sheetDataSet>
  </externalBook>
</externalLink>
</file>

<file path=xl/tables/table1.xml><?xml version="1.0" encoding="utf-8"?>
<table xmlns="http://schemas.openxmlformats.org/spreadsheetml/2006/main" id="2" name="Resource_Streams" displayName="Resource_Streams" ref="A6:C35" totalsRowShown="0" headerRowDxfId="50" dataDxfId="48" headerRowBorderDxfId="49" tableBorderDxfId="47" totalsRowBorderDxfId="46">
  <tableColumns count="3">
    <tableColumn id="1" name="Source Name" dataDxfId="45"/>
    <tableColumn id="2" name="Source Code" dataDxfId="44"/>
    <tableColumn id="3" name="Units" dataDxfId="43"/>
  </tableColumns>
  <tableStyleInfo name="TableStyleMedium9" showFirstColumn="0" showLastColumn="0" showRowStripes="1" showColumnStripes="0"/>
</table>
</file>

<file path=xl/tables/table2.xml><?xml version="1.0" encoding="utf-8"?>
<table xmlns="http://schemas.openxmlformats.org/spreadsheetml/2006/main" id="3" name="Application_Codes" displayName="Application_Codes" ref="A38:C42" totalsRowShown="0" headerRowDxfId="42" dataDxfId="40" headerRowBorderDxfId="41" tableBorderDxfId="39" totalsRowBorderDxfId="38">
  <tableColumns count="3">
    <tableColumn id="1" name="Application" dataDxfId="37"/>
    <tableColumn id="2" name="APP Code" dataDxfId="36"/>
    <tableColumn id="3" name="Examples" dataDxfId="35"/>
  </tableColumns>
  <tableStyleInfo name="TableStyleMedium9" showFirstColumn="0" showLastColumn="0" showRowStripes="1" showColumnStripes="0"/>
</table>
</file>

<file path=xl/tables/table3.xml><?xml version="1.0" encoding="utf-8"?>
<table xmlns="http://schemas.openxmlformats.org/spreadsheetml/2006/main" id="4" name="Production_Units" displayName="Production_Units" ref="A45:B53" totalsRowShown="0" headerRowDxfId="34" dataDxfId="32" headerRowBorderDxfId="33" tableBorderDxfId="31" totalsRowBorderDxfId="30">
  <tableColumns count="2">
    <tableColumn id="1" name="Display Units" dataDxfId="29"/>
    <tableColumn id="2" name="Rutgers Units" dataDxfId="28"/>
  </tableColumns>
  <tableStyleInfo name="TableStyleMedium9" showFirstColumn="0" showLastColumn="0" showRowStripes="1" showColumnStripes="0"/>
</table>
</file>

<file path=xl/tables/table4.xml><?xml version="1.0" encoding="utf-8"?>
<table xmlns="http://schemas.openxmlformats.org/spreadsheetml/2006/main" id="5" name="BP_Tools" displayName="BP_Tools" ref="A56:B66" totalsRowShown="0" headerRowDxfId="27" dataDxfId="25" headerRowBorderDxfId="26" tableBorderDxfId="24" totalsRowBorderDxfId="23">
  <tableColumns count="2">
    <tableColumn id="1" name="Tool Name" dataDxfId="22"/>
    <tableColumn id="2" name="Tool Desciption" dataDxfId="21"/>
  </tableColumns>
  <tableStyleInfo name="TableStyleMedium9" showFirstColumn="0" showLastColumn="0" showRowStripes="1" showColumnStripes="0"/>
</table>
</file>

<file path=xl/tables/table5.xml><?xml version="1.0" encoding="utf-8"?>
<table xmlns="http://schemas.openxmlformats.org/spreadsheetml/2006/main" id="6" name="Fixture_Data" displayName="Fixture_Data" ref="A1:S114" totalsRowShown="0" headerRowDxfId="20" dataDxfId="19">
  <tableColumns count="19">
    <tableColumn id="1" name="Fixture Code" dataDxfId="18">
      <calculatedColumnFormula>IF(C2="","",""&amp;C2&amp;"-"&amp;D2&amp;"-"&amp;E2&amp;"FT-"&amp;F2&amp;"L-"&amp;G2&amp;"W")</calculatedColumnFormula>
    </tableColumn>
    <tableColumn id="2" name="Description" dataDxfId="17"/>
    <tableColumn id="3" name="Type" dataDxfId="16"/>
    <tableColumn id="4" name="Lamp Size" dataDxfId="15"/>
    <tableColumn id="5" name="Length (ft)" dataDxfId="14"/>
    <tableColumn id="6" name="Lamps/ Fixture" dataDxfId="13"/>
    <tableColumn id="7" name="Watts/ Lamp" dataDxfId="12"/>
    <tableColumn id="8" name="Lumens Mean" dataDxfId="11"/>
    <tableColumn id="9" name="Lamp Life" dataDxfId="10"/>
    <tableColumn id="10" name="Input Watts (Total)" dataDxfId="9"/>
    <tableColumn id="11" name="Input Watts (Per Ballast)" dataDxfId="8"/>
    <tableColumn id="12" name="Ballast/ Fixture" dataDxfId="7"/>
    <tableColumn id="13" name="Ballast Life" dataDxfId="6"/>
    <tableColumn id="14" name="Ballast Factor" dataDxfId="5">
      <calculatedColumnFormula>IF(J2="","",IF(J2/(G2*F2)&gt;1,1,J2/(G2*F2)))</calculatedColumnFormula>
    </tableColumn>
    <tableColumn id="15" name="Fixture Cost (w/ Ballast)" dataDxfId="4"/>
    <tableColumn id="16" name="Lamp Cost" dataDxfId="3"/>
    <tableColumn id="17" name="Ballast Cost" dataDxfId="2"/>
    <tableColumn id="21" name="Lighting Efficiency" dataDxfId="1"/>
    <tableColumn id="18" name="Additonal Information"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image" Target="../media/image8.emf"/><Relationship Id="rId18" Type="http://schemas.openxmlformats.org/officeDocument/2006/relationships/oleObject" Target="../embeddings/oleObject10.bin"/><Relationship Id="rId26" Type="http://schemas.openxmlformats.org/officeDocument/2006/relationships/oleObject" Target="../embeddings/oleObject14.bin"/><Relationship Id="rId39" Type="http://schemas.openxmlformats.org/officeDocument/2006/relationships/image" Target="../media/image21.emf"/><Relationship Id="rId3" Type="http://schemas.openxmlformats.org/officeDocument/2006/relationships/vmlDrawing" Target="../drawings/vmlDrawing2.vml"/><Relationship Id="rId21" Type="http://schemas.openxmlformats.org/officeDocument/2006/relationships/image" Target="../media/image12.emf"/><Relationship Id="rId34" Type="http://schemas.openxmlformats.org/officeDocument/2006/relationships/oleObject" Target="../embeddings/oleObject18.bin"/><Relationship Id="rId42" Type="http://schemas.openxmlformats.org/officeDocument/2006/relationships/oleObject" Target="../embeddings/oleObject22.bin"/><Relationship Id="rId47" Type="http://schemas.openxmlformats.org/officeDocument/2006/relationships/image" Target="../media/image25.emf"/><Relationship Id="rId7" Type="http://schemas.openxmlformats.org/officeDocument/2006/relationships/image" Target="../media/image5.emf"/><Relationship Id="rId12" Type="http://schemas.openxmlformats.org/officeDocument/2006/relationships/oleObject" Target="../embeddings/oleObject7.bin"/><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38" Type="http://schemas.openxmlformats.org/officeDocument/2006/relationships/oleObject" Target="../embeddings/oleObject20.bin"/><Relationship Id="rId46" Type="http://schemas.openxmlformats.org/officeDocument/2006/relationships/oleObject" Target="../embeddings/oleObject24.bin"/><Relationship Id="rId2" Type="http://schemas.openxmlformats.org/officeDocument/2006/relationships/drawing" Target="../drawings/drawing5.xml"/><Relationship Id="rId16" Type="http://schemas.openxmlformats.org/officeDocument/2006/relationships/oleObject" Target="../embeddings/oleObject9.bin"/><Relationship Id="rId20" Type="http://schemas.openxmlformats.org/officeDocument/2006/relationships/oleObject" Target="../embeddings/oleObject11.bin"/><Relationship Id="rId29" Type="http://schemas.openxmlformats.org/officeDocument/2006/relationships/image" Target="../media/image16.emf"/><Relationship Id="rId41" Type="http://schemas.openxmlformats.org/officeDocument/2006/relationships/image" Target="../media/image22.emf"/><Relationship Id="rId1" Type="http://schemas.openxmlformats.org/officeDocument/2006/relationships/printerSettings" Target="../printerSettings/printerSettings6.bin"/><Relationship Id="rId6" Type="http://schemas.openxmlformats.org/officeDocument/2006/relationships/oleObject" Target="../embeddings/oleObject4.bin"/><Relationship Id="rId11" Type="http://schemas.openxmlformats.org/officeDocument/2006/relationships/image" Target="../media/image7.emf"/><Relationship Id="rId24" Type="http://schemas.openxmlformats.org/officeDocument/2006/relationships/oleObject" Target="../embeddings/oleObject13.bin"/><Relationship Id="rId32" Type="http://schemas.openxmlformats.org/officeDocument/2006/relationships/oleObject" Target="../embeddings/oleObject17.bin"/><Relationship Id="rId37" Type="http://schemas.openxmlformats.org/officeDocument/2006/relationships/image" Target="../media/image20.emf"/><Relationship Id="rId40" Type="http://schemas.openxmlformats.org/officeDocument/2006/relationships/oleObject" Target="../embeddings/oleObject21.bin"/><Relationship Id="rId45" Type="http://schemas.openxmlformats.org/officeDocument/2006/relationships/image" Target="../media/image24.emf"/><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oleObject" Target="../embeddings/oleObject15.bin"/><Relationship Id="rId36" Type="http://schemas.openxmlformats.org/officeDocument/2006/relationships/oleObject" Target="../embeddings/oleObject19.bin"/><Relationship Id="rId49" Type="http://schemas.openxmlformats.org/officeDocument/2006/relationships/image" Target="../media/image26.emf"/><Relationship Id="rId10" Type="http://schemas.openxmlformats.org/officeDocument/2006/relationships/oleObject" Target="../embeddings/oleObject6.bin"/><Relationship Id="rId19" Type="http://schemas.openxmlformats.org/officeDocument/2006/relationships/image" Target="../media/image11.emf"/><Relationship Id="rId31" Type="http://schemas.openxmlformats.org/officeDocument/2006/relationships/image" Target="../media/image17.emf"/><Relationship Id="rId44" Type="http://schemas.openxmlformats.org/officeDocument/2006/relationships/oleObject" Target="../embeddings/oleObject23.bin"/><Relationship Id="rId4" Type="http://schemas.openxmlformats.org/officeDocument/2006/relationships/oleObject" Target="../embeddings/oleObject3.bin"/><Relationship Id="rId9" Type="http://schemas.openxmlformats.org/officeDocument/2006/relationships/image" Target="../media/image6.emf"/><Relationship Id="rId14" Type="http://schemas.openxmlformats.org/officeDocument/2006/relationships/oleObject" Target="../embeddings/oleObject8.bin"/><Relationship Id="rId22" Type="http://schemas.openxmlformats.org/officeDocument/2006/relationships/oleObject" Target="../embeddings/oleObject12.bin"/><Relationship Id="rId27" Type="http://schemas.openxmlformats.org/officeDocument/2006/relationships/image" Target="../media/image15.emf"/><Relationship Id="rId30" Type="http://schemas.openxmlformats.org/officeDocument/2006/relationships/oleObject" Target="../embeddings/oleObject16.bin"/><Relationship Id="rId35" Type="http://schemas.openxmlformats.org/officeDocument/2006/relationships/image" Target="../media/image19.emf"/><Relationship Id="rId43" Type="http://schemas.openxmlformats.org/officeDocument/2006/relationships/image" Target="../media/image23.emf"/><Relationship Id="rId48" Type="http://schemas.openxmlformats.org/officeDocument/2006/relationships/oleObject" Target="../embeddings/oleObject25.bin"/><Relationship Id="rId8"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W66"/>
  <sheetViews>
    <sheetView showGridLines="0" workbookViewId="0">
      <selection activeCell="F28" sqref="F28"/>
    </sheetView>
  </sheetViews>
  <sheetFormatPr defaultRowHeight="12.75" x14ac:dyDescent="0.2"/>
  <cols>
    <col min="1" max="23" width="12.5" style="39" customWidth="1"/>
    <col min="24" max="16384" width="9.33203125" style="39"/>
  </cols>
  <sheetData>
    <row r="1" spans="1:23" s="134" customFormat="1" ht="15.75" x14ac:dyDescent="0.2">
      <c r="A1" s="183" t="s">
        <v>15</v>
      </c>
      <c r="B1" s="183"/>
      <c r="C1" s="183"/>
      <c r="D1" s="183"/>
      <c r="E1" s="183"/>
      <c r="F1" s="183"/>
      <c r="G1" s="183"/>
      <c r="H1" s="183"/>
      <c r="I1" s="183"/>
      <c r="J1" s="183"/>
      <c r="K1" s="183"/>
      <c r="L1" s="183"/>
      <c r="M1" s="183"/>
      <c r="N1" s="183"/>
      <c r="O1" s="183"/>
      <c r="P1" s="183"/>
      <c r="Q1" s="183"/>
      <c r="R1" s="183"/>
      <c r="S1" s="183"/>
      <c r="T1" s="183"/>
      <c r="U1" s="183"/>
      <c r="V1" s="183"/>
      <c r="W1" s="183"/>
    </row>
    <row r="2" spans="1:23" s="134" customFormat="1" ht="45" x14ac:dyDescent="0.2">
      <c r="A2" s="136" t="s">
        <v>16</v>
      </c>
      <c r="B2" s="136" t="s">
        <v>17</v>
      </c>
      <c r="C2" s="136" t="s">
        <v>18</v>
      </c>
      <c r="D2" s="136" t="s">
        <v>19</v>
      </c>
      <c r="E2" s="136" t="s">
        <v>20</v>
      </c>
      <c r="F2" s="136" t="s">
        <v>21</v>
      </c>
      <c r="G2" s="136" t="s">
        <v>22</v>
      </c>
      <c r="H2" s="136" t="s">
        <v>23</v>
      </c>
      <c r="I2" s="136" t="s">
        <v>24</v>
      </c>
      <c r="J2" s="136" t="s">
        <v>25</v>
      </c>
      <c r="K2" s="136" t="s">
        <v>26</v>
      </c>
      <c r="L2" s="136" t="s">
        <v>27</v>
      </c>
      <c r="M2" s="136" t="s">
        <v>28</v>
      </c>
      <c r="N2" s="136" t="s">
        <v>29</v>
      </c>
      <c r="O2" s="136" t="s">
        <v>30</v>
      </c>
      <c r="P2" s="136" t="s">
        <v>31</v>
      </c>
      <c r="Q2" s="136" t="s">
        <v>32</v>
      </c>
      <c r="R2" s="136" t="s">
        <v>33</v>
      </c>
      <c r="S2" s="136" t="s">
        <v>34</v>
      </c>
      <c r="T2" s="136" t="s">
        <v>35</v>
      </c>
      <c r="U2" s="136" t="s">
        <v>36</v>
      </c>
      <c r="V2" s="136" t="s">
        <v>37</v>
      </c>
      <c r="W2" s="136" t="s">
        <v>38</v>
      </c>
    </row>
    <row r="3" spans="1:23" s="134" customFormat="1" ht="13.5" x14ac:dyDescent="0.2">
      <c r="A3" s="135" t="s">
        <v>163</v>
      </c>
      <c r="B3" s="135"/>
      <c r="C3" s="139"/>
      <c r="D3" s="135" t="s">
        <v>114</v>
      </c>
      <c r="E3" s="135" t="s">
        <v>133</v>
      </c>
      <c r="F3" s="135" t="s">
        <v>327</v>
      </c>
      <c r="G3" s="138" t="str">
        <f ca="1">Narrative!B5</f>
        <v>Install (type of lights) in the (where) (operated using occupancy sensors?). This will increase lighting efficiency (reduce operating hours?), reducing associated annual energy consumption by 20%.</v>
      </c>
      <c r="H3" s="138">
        <f>Narrative!H134</f>
        <v>0</v>
      </c>
      <c r="I3" s="137" t="str">
        <f>Narrative!AI10</f>
        <v>Electrical Consumption</v>
      </c>
      <c r="J3" s="137">
        <f ca="1">Narrative!AR10</f>
        <v>10080</v>
      </c>
      <c r="K3" s="137">
        <f ca="1">Narrative!BB10</f>
        <v>957.59999999999991</v>
      </c>
      <c r="L3" s="137" t="str">
        <f>Narrative!AI11</f>
        <v>Electrical Demand</v>
      </c>
      <c r="M3" s="137">
        <f ca="1">Narrative!AR11</f>
        <v>30.239999999999995</v>
      </c>
      <c r="N3" s="137">
        <f ca="1">Narrative!BB11</f>
        <v>211.67999999999995</v>
      </c>
      <c r="O3" s="137" t="str">
        <f>Narrative!AI12</f>
        <v>Ancillary Material Cost</v>
      </c>
      <c r="P3" s="137">
        <f>Narrative!AR12</f>
        <v>0</v>
      </c>
      <c r="Q3" s="137">
        <f ca="1">Narrative!BB12</f>
        <v>33.704444444444448</v>
      </c>
      <c r="R3" s="137" t="str">
        <f>Narrative!AI13</f>
        <v>Administrative Costs</v>
      </c>
      <c r="S3" s="137">
        <f>Narrative!AR13</f>
        <v>0</v>
      </c>
      <c r="T3" s="137">
        <f ca="1">Narrative!BB13</f>
        <v>132.33333333333334</v>
      </c>
      <c r="U3" s="137">
        <f ca="1">Narrative!S18</f>
        <v>7301</v>
      </c>
      <c r="V3" s="135"/>
      <c r="W3" s="135" t="s">
        <v>388</v>
      </c>
    </row>
    <row r="4" spans="1:23" s="134" customFormat="1" x14ac:dyDescent="0.2"/>
    <row r="5" spans="1:23" x14ac:dyDescent="0.2">
      <c r="A5" s="181" t="s">
        <v>40</v>
      </c>
      <c r="B5" s="181"/>
      <c r="C5" s="181"/>
      <c r="D5" s="16"/>
      <c r="E5" s="34"/>
      <c r="F5" s="34"/>
      <c r="G5" s="34"/>
      <c r="H5" s="34"/>
      <c r="I5" s="34"/>
      <c r="J5" s="34"/>
      <c r="K5" s="34"/>
      <c r="L5" s="34"/>
      <c r="M5" s="34"/>
      <c r="N5" s="34"/>
      <c r="O5" s="34"/>
      <c r="P5" s="34"/>
      <c r="Q5" s="34"/>
      <c r="R5" s="34"/>
      <c r="S5" s="34"/>
      <c r="T5" s="34"/>
      <c r="U5" s="34"/>
      <c r="V5" s="34"/>
      <c r="W5" s="34"/>
    </row>
    <row r="6" spans="1:23" ht="15.75" x14ac:dyDescent="0.2">
      <c r="A6" s="17" t="s">
        <v>41</v>
      </c>
      <c r="B6" s="18" t="s">
        <v>42</v>
      </c>
      <c r="C6" s="19" t="s">
        <v>8</v>
      </c>
      <c r="D6" s="16"/>
      <c r="E6" s="131" t="s">
        <v>407</v>
      </c>
      <c r="F6" s="131"/>
      <c r="G6" s="131"/>
      <c r="H6" s="131"/>
      <c r="I6" s="131"/>
      <c r="J6" s="131"/>
      <c r="K6" s="131"/>
      <c r="L6" s="131"/>
      <c r="M6" s="131"/>
      <c r="N6" s="34"/>
      <c r="O6" s="34"/>
      <c r="P6" s="34"/>
      <c r="Q6" s="34"/>
      <c r="R6" s="34"/>
      <c r="S6" s="34"/>
      <c r="T6" s="34"/>
      <c r="U6" s="34"/>
      <c r="V6" s="34"/>
      <c r="W6" s="34"/>
    </row>
    <row r="7" spans="1:23" ht="15" customHeight="1" x14ac:dyDescent="0.2">
      <c r="A7" s="20" t="s">
        <v>43</v>
      </c>
      <c r="B7" s="21" t="s">
        <v>44</v>
      </c>
      <c r="C7" s="22" t="s">
        <v>45</v>
      </c>
      <c r="D7" s="16"/>
      <c r="E7" s="156">
        <v>2.7111000000000001</v>
      </c>
      <c r="F7" s="155" t="s">
        <v>392</v>
      </c>
      <c r="H7" s="133"/>
      <c r="I7" s="133"/>
      <c r="J7" s="133"/>
      <c r="K7" s="133"/>
      <c r="L7" s="133"/>
      <c r="M7" s="133"/>
      <c r="N7" s="133"/>
      <c r="O7" s="133"/>
      <c r="P7" s="34"/>
      <c r="Q7" s="34"/>
      <c r="R7" s="34"/>
      <c r="S7" s="34"/>
      <c r="T7" s="34"/>
      <c r="U7" s="34"/>
      <c r="V7" s="34"/>
      <c r="W7" s="34"/>
    </row>
    <row r="8" spans="1:23" ht="15" customHeight="1" x14ac:dyDescent="0.2">
      <c r="A8" s="20" t="s">
        <v>46</v>
      </c>
      <c r="B8" s="21" t="s">
        <v>47</v>
      </c>
      <c r="C8" s="22" t="s">
        <v>48</v>
      </c>
      <c r="D8" s="16"/>
      <c r="E8" s="156">
        <v>2.7111999999999998</v>
      </c>
      <c r="F8" s="155" t="s">
        <v>393</v>
      </c>
      <c r="H8" s="133"/>
      <c r="I8" s="133"/>
      <c r="J8" s="133"/>
      <c r="K8" s="133"/>
      <c r="L8" s="133"/>
      <c r="M8" s="133"/>
      <c r="N8" s="133"/>
      <c r="O8" s="133"/>
      <c r="P8" s="34"/>
      <c r="Q8" s="34"/>
      <c r="R8" s="34"/>
      <c r="S8" s="34"/>
      <c r="T8" s="34"/>
      <c r="U8" s="34"/>
      <c r="V8" s="34"/>
      <c r="W8" s="34"/>
    </row>
    <row r="9" spans="1:23" ht="15" customHeight="1" x14ac:dyDescent="0.2">
      <c r="A9" s="20" t="s">
        <v>49</v>
      </c>
      <c r="B9" s="21" t="s">
        <v>50</v>
      </c>
      <c r="C9" s="22" t="s">
        <v>51</v>
      </c>
      <c r="D9" s="16"/>
      <c r="E9" s="156">
        <v>2.7121</v>
      </c>
      <c r="F9" s="155" t="s">
        <v>394</v>
      </c>
      <c r="I9" s="133"/>
      <c r="J9" s="133"/>
      <c r="K9" s="133"/>
      <c r="L9" s="133"/>
      <c r="M9" s="133"/>
      <c r="N9" s="133"/>
      <c r="O9" s="133"/>
      <c r="P9" s="34"/>
      <c r="Q9" s="34"/>
      <c r="R9" s="34"/>
      <c r="S9" s="34"/>
      <c r="T9" s="34"/>
      <c r="U9" s="34"/>
      <c r="V9" s="34"/>
      <c r="W9" s="34"/>
    </row>
    <row r="10" spans="1:23" ht="15" customHeight="1" x14ac:dyDescent="0.2">
      <c r="A10" s="20" t="s">
        <v>52</v>
      </c>
      <c r="B10" s="21" t="s">
        <v>53</v>
      </c>
      <c r="C10" s="22" t="s">
        <v>14</v>
      </c>
      <c r="D10" s="16"/>
      <c r="E10" s="156">
        <v>2.7122000000000002</v>
      </c>
      <c r="F10" s="155" t="s">
        <v>395</v>
      </c>
      <c r="I10" s="133"/>
      <c r="J10" s="133"/>
      <c r="K10" s="133"/>
      <c r="L10" s="133"/>
      <c r="M10" s="133"/>
      <c r="N10" s="133"/>
      <c r="O10" s="133"/>
      <c r="P10" s="34"/>
      <c r="Q10" s="34"/>
      <c r="R10" s="34"/>
      <c r="S10" s="34"/>
      <c r="T10" s="34"/>
      <c r="U10" s="34"/>
      <c r="V10" s="34"/>
      <c r="W10" s="34"/>
    </row>
    <row r="11" spans="1:23" ht="15" customHeight="1" x14ac:dyDescent="0.2">
      <c r="A11" s="20" t="s">
        <v>54</v>
      </c>
      <c r="B11" s="21" t="s">
        <v>55</v>
      </c>
      <c r="C11" s="22" t="s">
        <v>14</v>
      </c>
      <c r="D11" s="16"/>
      <c r="E11" s="156">
        <v>2.7122999999999999</v>
      </c>
      <c r="F11" s="155" t="s">
        <v>396</v>
      </c>
      <c r="I11" s="133"/>
      <c r="J11" s="133"/>
      <c r="K11" s="133"/>
      <c r="L11" s="133"/>
      <c r="M11" s="133"/>
      <c r="N11" s="133"/>
      <c r="O11" s="133"/>
      <c r="P11" s="34"/>
      <c r="Q11" s="34"/>
      <c r="R11" s="34"/>
      <c r="S11" s="34"/>
      <c r="T11" s="34"/>
      <c r="U11" s="34"/>
      <c r="V11" s="34"/>
      <c r="W11" s="34"/>
    </row>
    <row r="12" spans="1:23" ht="15" customHeight="1" x14ac:dyDescent="0.2">
      <c r="A12" s="20" t="s">
        <v>56</v>
      </c>
      <c r="B12" s="21" t="s">
        <v>57</v>
      </c>
      <c r="C12" s="22" t="s">
        <v>14</v>
      </c>
      <c r="D12" s="16"/>
      <c r="E12" s="156">
        <v>2.7124000000000001</v>
      </c>
      <c r="F12" s="155" t="s">
        <v>397</v>
      </c>
      <c r="I12" s="133"/>
      <c r="J12" s="133"/>
      <c r="K12" s="133"/>
      <c r="L12" s="133"/>
      <c r="M12" s="133"/>
      <c r="N12" s="133"/>
      <c r="O12" s="133"/>
      <c r="P12" s="34"/>
      <c r="Q12" s="34"/>
      <c r="R12" s="34"/>
      <c r="S12" s="34"/>
      <c r="T12" s="34"/>
      <c r="U12" s="34"/>
      <c r="V12" s="34"/>
      <c r="W12" s="34"/>
    </row>
    <row r="13" spans="1:23" ht="15" customHeight="1" x14ac:dyDescent="0.2">
      <c r="A13" s="20" t="s">
        <v>58</v>
      </c>
      <c r="B13" s="21" t="s">
        <v>59</v>
      </c>
      <c r="C13" s="22" t="s">
        <v>14</v>
      </c>
      <c r="D13" s="16"/>
      <c r="E13" s="156">
        <v>2.7130999999999998</v>
      </c>
      <c r="F13" s="155" t="s">
        <v>398</v>
      </c>
      <c r="I13" s="133"/>
      <c r="J13" s="133"/>
      <c r="K13" s="133"/>
      <c r="L13" s="133"/>
      <c r="M13" s="133"/>
      <c r="N13" s="133"/>
      <c r="O13" s="133"/>
      <c r="P13" s="34"/>
      <c r="Q13" s="34"/>
      <c r="R13" s="34"/>
      <c r="S13" s="34"/>
      <c r="T13" s="34"/>
      <c r="U13" s="34"/>
      <c r="V13" s="34"/>
      <c r="W13" s="34"/>
    </row>
    <row r="14" spans="1:23" ht="15" customHeight="1" x14ac:dyDescent="0.2">
      <c r="A14" s="20" t="s">
        <v>60</v>
      </c>
      <c r="B14" s="21" t="s">
        <v>61</v>
      </c>
      <c r="C14" s="22" t="s">
        <v>14</v>
      </c>
      <c r="D14" s="16"/>
      <c r="E14" s="156">
        <v>2.7132000000000001</v>
      </c>
      <c r="F14" s="155" t="s">
        <v>399</v>
      </c>
      <c r="I14" s="133"/>
      <c r="J14" s="133"/>
      <c r="K14" s="133"/>
      <c r="L14" s="133"/>
      <c r="M14" s="133"/>
      <c r="N14" s="133"/>
      <c r="O14" s="133"/>
      <c r="P14" s="34"/>
      <c r="Q14" s="34"/>
      <c r="R14" s="34"/>
      <c r="S14" s="34"/>
      <c r="T14" s="34"/>
      <c r="U14" s="34"/>
      <c r="V14" s="34"/>
      <c r="W14" s="34"/>
    </row>
    <row r="15" spans="1:23" ht="15" customHeight="1" x14ac:dyDescent="0.2">
      <c r="A15" s="20" t="s">
        <v>62</v>
      </c>
      <c r="B15" s="21" t="s">
        <v>63</v>
      </c>
      <c r="C15" s="22" t="s">
        <v>14</v>
      </c>
      <c r="D15" s="16"/>
      <c r="E15" s="156">
        <v>2.7132999999999998</v>
      </c>
      <c r="F15" s="155" t="s">
        <v>400</v>
      </c>
      <c r="I15" s="133"/>
      <c r="J15" s="133"/>
      <c r="K15" s="133"/>
      <c r="L15" s="133"/>
      <c r="M15" s="133"/>
      <c r="N15" s="133"/>
      <c r="O15" s="133"/>
      <c r="P15" s="34"/>
      <c r="Q15" s="34"/>
      <c r="R15" s="34"/>
      <c r="S15" s="34"/>
      <c r="T15" s="34"/>
      <c r="U15" s="34"/>
      <c r="V15" s="34"/>
      <c r="W15" s="34"/>
    </row>
    <row r="16" spans="1:23" ht="15" customHeight="1" x14ac:dyDescent="0.2">
      <c r="A16" s="20" t="s">
        <v>64</v>
      </c>
      <c r="B16" s="21" t="s">
        <v>65</v>
      </c>
      <c r="C16" s="22" t="s">
        <v>14</v>
      </c>
      <c r="D16" s="16"/>
      <c r="E16" s="156">
        <v>2.7134</v>
      </c>
      <c r="F16" s="155" t="s">
        <v>401</v>
      </c>
      <c r="I16" s="133"/>
      <c r="J16" s="133"/>
      <c r="K16" s="133"/>
      <c r="L16" s="133"/>
      <c r="M16" s="133"/>
      <c r="N16" s="133"/>
      <c r="O16" s="133"/>
      <c r="P16" s="34"/>
      <c r="Q16" s="34"/>
      <c r="R16" s="34"/>
      <c r="S16" s="34"/>
      <c r="T16" s="34"/>
      <c r="U16" s="34"/>
      <c r="V16" s="34"/>
      <c r="W16" s="34"/>
    </row>
    <row r="17" spans="1:23" ht="15" customHeight="1" x14ac:dyDescent="0.2">
      <c r="A17" s="20" t="s">
        <v>66</v>
      </c>
      <c r="B17" s="21" t="s">
        <v>67</v>
      </c>
      <c r="C17" s="22" t="s">
        <v>14</v>
      </c>
      <c r="D17" s="16"/>
      <c r="E17" s="156">
        <v>2.7134999999999998</v>
      </c>
      <c r="F17" s="155" t="s">
        <v>402</v>
      </c>
      <c r="I17" s="133"/>
      <c r="J17" s="133"/>
      <c r="K17" s="133"/>
      <c r="L17" s="133"/>
      <c r="M17" s="133"/>
      <c r="N17" s="133"/>
      <c r="O17" s="133"/>
      <c r="P17" s="34"/>
      <c r="Q17" s="34"/>
      <c r="R17" s="34"/>
      <c r="S17" s="34"/>
      <c r="T17" s="34"/>
      <c r="U17" s="34"/>
      <c r="V17" s="34"/>
      <c r="W17" s="34"/>
    </row>
    <row r="18" spans="1:23" ht="15" customHeight="1" x14ac:dyDescent="0.2">
      <c r="A18" s="20" t="s">
        <v>68</v>
      </c>
      <c r="B18" s="21" t="s">
        <v>69</v>
      </c>
      <c r="C18" s="22" t="s">
        <v>14</v>
      </c>
      <c r="D18" s="16"/>
      <c r="E18" s="156">
        <v>2.7141000000000002</v>
      </c>
      <c r="F18" s="155" t="s">
        <v>403</v>
      </c>
      <c r="I18" s="133"/>
      <c r="J18" s="133"/>
      <c r="K18" s="133"/>
      <c r="L18" s="133"/>
      <c r="M18" s="133"/>
      <c r="N18" s="133"/>
      <c r="O18" s="133"/>
      <c r="P18" s="34"/>
      <c r="Q18" s="34"/>
      <c r="R18" s="34"/>
      <c r="S18" s="34"/>
      <c r="T18" s="34"/>
      <c r="U18" s="34"/>
      <c r="V18" s="34"/>
      <c r="W18" s="34"/>
    </row>
    <row r="19" spans="1:23" ht="15" customHeight="1" x14ac:dyDescent="0.2">
      <c r="A19" s="20" t="s">
        <v>70</v>
      </c>
      <c r="B19" s="21" t="s">
        <v>71</v>
      </c>
      <c r="C19" s="22" t="s">
        <v>14</v>
      </c>
      <c r="D19" s="16"/>
      <c r="E19" s="156">
        <v>2.7141999999999999</v>
      </c>
      <c r="F19" s="155" t="s">
        <v>404</v>
      </c>
      <c r="I19" s="133"/>
      <c r="J19" s="133"/>
      <c r="K19" s="133"/>
      <c r="L19" s="133"/>
      <c r="M19" s="133"/>
      <c r="N19" s="133"/>
      <c r="O19" s="133"/>
      <c r="P19" s="34"/>
      <c r="Q19" s="34"/>
      <c r="R19" s="34"/>
      <c r="S19" s="34"/>
      <c r="T19" s="34"/>
      <c r="U19" s="34"/>
      <c r="V19" s="34"/>
      <c r="W19" s="34"/>
    </row>
    <row r="20" spans="1:23" ht="15" customHeight="1" x14ac:dyDescent="0.2">
      <c r="A20" s="20" t="s">
        <v>72</v>
      </c>
      <c r="B20" s="21" t="s">
        <v>73</v>
      </c>
      <c r="C20" s="22" t="s">
        <v>14</v>
      </c>
      <c r="D20" s="16"/>
      <c r="E20" s="156">
        <v>2.7143000000000002</v>
      </c>
      <c r="F20" s="155" t="s">
        <v>405</v>
      </c>
      <c r="I20" s="133"/>
      <c r="J20" s="133"/>
      <c r="K20" s="133"/>
      <c r="L20" s="133"/>
      <c r="M20" s="133"/>
      <c r="N20" s="133"/>
      <c r="O20" s="133"/>
      <c r="P20" s="34"/>
      <c r="Q20" s="34"/>
      <c r="R20" s="34"/>
      <c r="S20" s="34"/>
      <c r="T20" s="34"/>
      <c r="U20" s="34"/>
      <c r="V20" s="34"/>
      <c r="W20" s="34"/>
    </row>
    <row r="21" spans="1:23" ht="15" customHeight="1" x14ac:dyDescent="0.2">
      <c r="A21" s="20" t="s">
        <v>74</v>
      </c>
      <c r="B21" s="21" t="s">
        <v>75</v>
      </c>
      <c r="C21" s="22" t="s">
        <v>76</v>
      </c>
      <c r="D21" s="16"/>
      <c r="E21" s="156">
        <v>2.7143999999999999</v>
      </c>
      <c r="F21" s="155" t="s">
        <v>406</v>
      </c>
      <c r="I21" s="133"/>
      <c r="J21" s="133"/>
      <c r="K21" s="133"/>
      <c r="L21" s="133"/>
      <c r="M21" s="133"/>
      <c r="N21" s="133"/>
      <c r="O21" s="133"/>
      <c r="P21" s="34"/>
      <c r="Q21" s="34"/>
      <c r="R21" s="34"/>
      <c r="S21" s="34"/>
      <c r="T21" s="34"/>
      <c r="U21" s="34"/>
      <c r="V21" s="34"/>
      <c r="W21" s="34"/>
    </row>
    <row r="22" spans="1:23" ht="15" customHeight="1" x14ac:dyDescent="0.2">
      <c r="A22" s="20" t="s">
        <v>77</v>
      </c>
      <c r="B22" s="21" t="s">
        <v>78</v>
      </c>
      <c r="C22" s="22" t="s">
        <v>76</v>
      </c>
      <c r="D22" s="16"/>
      <c r="E22" s="156"/>
      <c r="F22" s="155"/>
      <c r="I22" s="133"/>
      <c r="J22" s="133"/>
      <c r="K22" s="133"/>
      <c r="L22" s="133"/>
      <c r="M22" s="133"/>
      <c r="N22" s="133"/>
      <c r="O22" s="133"/>
      <c r="P22" s="34"/>
      <c r="Q22" s="34"/>
      <c r="R22" s="34"/>
      <c r="S22" s="34"/>
      <c r="T22" s="34"/>
      <c r="U22" s="34"/>
      <c r="V22" s="34"/>
      <c r="W22" s="34"/>
    </row>
    <row r="23" spans="1:23" ht="15" customHeight="1" x14ac:dyDescent="0.2">
      <c r="A23" s="20" t="s">
        <v>79</v>
      </c>
      <c r="B23" s="21" t="s">
        <v>80</v>
      </c>
      <c r="C23" s="22" t="s">
        <v>76</v>
      </c>
      <c r="D23" s="16"/>
      <c r="E23" s="154"/>
      <c r="F23" s="154"/>
      <c r="G23" s="154"/>
      <c r="H23" s="133"/>
      <c r="I23" s="133"/>
      <c r="J23" s="133"/>
      <c r="K23" s="133"/>
      <c r="L23" s="133"/>
      <c r="M23" s="133"/>
      <c r="N23" s="133"/>
      <c r="O23" s="133"/>
      <c r="P23" s="34"/>
      <c r="Q23" s="34"/>
      <c r="R23" s="34"/>
      <c r="S23" s="34"/>
      <c r="T23" s="34"/>
      <c r="U23" s="34"/>
      <c r="V23" s="34"/>
      <c r="W23" s="34"/>
    </row>
    <row r="24" spans="1:23" ht="15" customHeight="1" x14ac:dyDescent="0.2">
      <c r="A24" s="20" t="s">
        <v>81</v>
      </c>
      <c r="B24" s="21" t="s">
        <v>82</v>
      </c>
      <c r="C24" s="22" t="s">
        <v>83</v>
      </c>
      <c r="D24" s="16"/>
      <c r="E24" s="154"/>
      <c r="F24" s="154"/>
      <c r="G24" s="154"/>
      <c r="H24" s="133"/>
      <c r="I24" s="133"/>
      <c r="J24" s="133"/>
      <c r="K24" s="133"/>
      <c r="L24" s="133"/>
      <c r="M24" s="133"/>
      <c r="N24" s="133"/>
      <c r="O24" s="133"/>
      <c r="P24" s="34"/>
      <c r="Q24" s="34"/>
      <c r="R24" s="34"/>
      <c r="S24" s="34"/>
      <c r="T24" s="34"/>
      <c r="U24" s="34"/>
      <c r="V24" s="34"/>
      <c r="W24" s="34"/>
    </row>
    <row r="25" spans="1:23" ht="15" customHeight="1" x14ac:dyDescent="0.2">
      <c r="A25" s="20" t="s">
        <v>84</v>
      </c>
      <c r="B25" s="21" t="s">
        <v>85</v>
      </c>
      <c r="C25" s="22" t="s">
        <v>83</v>
      </c>
      <c r="D25" s="16"/>
      <c r="E25" s="154"/>
      <c r="F25" s="154"/>
      <c r="G25" s="154"/>
      <c r="H25" s="133"/>
      <c r="I25" s="133"/>
      <c r="J25" s="133"/>
      <c r="K25" s="133"/>
      <c r="L25" s="133"/>
      <c r="M25" s="133"/>
      <c r="N25" s="133"/>
      <c r="O25" s="133"/>
      <c r="P25" s="34"/>
      <c r="Q25" s="34"/>
      <c r="R25" s="34"/>
      <c r="S25" s="34"/>
      <c r="T25" s="34"/>
      <c r="U25" s="34"/>
      <c r="V25" s="34"/>
      <c r="W25" s="34"/>
    </row>
    <row r="26" spans="1:23" ht="15" customHeight="1" x14ac:dyDescent="0.2">
      <c r="A26" s="20" t="s">
        <v>86</v>
      </c>
      <c r="B26" s="21" t="s">
        <v>87</v>
      </c>
      <c r="C26" s="22" t="s">
        <v>83</v>
      </c>
      <c r="D26" s="16"/>
      <c r="E26" s="154"/>
      <c r="F26" s="154"/>
      <c r="G26" s="154"/>
      <c r="H26" s="133"/>
      <c r="I26" s="133"/>
      <c r="J26" s="133"/>
      <c r="K26" s="133"/>
      <c r="L26" s="133"/>
      <c r="M26" s="133"/>
      <c r="N26" s="133"/>
      <c r="O26" s="133"/>
      <c r="P26" s="34"/>
      <c r="Q26" s="34"/>
      <c r="R26" s="34"/>
      <c r="S26" s="34"/>
      <c r="T26" s="34"/>
      <c r="U26" s="34"/>
      <c r="V26" s="34"/>
      <c r="W26" s="34"/>
    </row>
    <row r="27" spans="1:23" ht="15" customHeight="1" x14ac:dyDescent="0.2">
      <c r="A27" s="20" t="s">
        <v>88</v>
      </c>
      <c r="B27" s="21" t="s">
        <v>89</v>
      </c>
      <c r="C27" s="22" t="s">
        <v>51</v>
      </c>
      <c r="D27" s="16"/>
      <c r="E27" s="154"/>
      <c r="F27" s="154"/>
      <c r="G27" s="154"/>
      <c r="H27" s="133"/>
      <c r="I27" s="133"/>
      <c r="J27" s="133"/>
      <c r="K27" s="133"/>
      <c r="L27" s="133"/>
      <c r="M27" s="133"/>
      <c r="N27" s="133"/>
      <c r="O27" s="133"/>
      <c r="P27" s="34"/>
      <c r="Q27" s="34"/>
      <c r="R27" s="34"/>
      <c r="S27" s="34"/>
      <c r="T27" s="34"/>
      <c r="U27" s="34"/>
      <c r="V27" s="34"/>
      <c r="W27" s="34"/>
    </row>
    <row r="28" spans="1:23" ht="15" customHeight="1" x14ac:dyDescent="0.2">
      <c r="A28" s="20" t="s">
        <v>90</v>
      </c>
      <c r="B28" s="21" t="s">
        <v>91</v>
      </c>
      <c r="C28" s="22" t="s">
        <v>51</v>
      </c>
      <c r="D28" s="16"/>
      <c r="E28" s="154"/>
      <c r="F28" s="154"/>
      <c r="G28" s="154"/>
      <c r="H28" s="133"/>
      <c r="I28" s="133"/>
      <c r="J28" s="133"/>
      <c r="K28" s="133"/>
      <c r="L28" s="133"/>
      <c r="M28" s="133"/>
      <c r="N28" s="133"/>
      <c r="O28" s="133"/>
      <c r="P28" s="34"/>
      <c r="Q28" s="34"/>
      <c r="R28" s="34"/>
      <c r="S28" s="34"/>
      <c r="T28" s="34"/>
      <c r="U28" s="34"/>
      <c r="V28" s="34"/>
      <c r="W28" s="34"/>
    </row>
    <row r="29" spans="1:23" ht="15" customHeight="1" x14ac:dyDescent="0.2">
      <c r="A29" s="20" t="s">
        <v>92</v>
      </c>
      <c r="B29" s="21" t="s">
        <v>93</v>
      </c>
      <c r="C29" s="22" t="s">
        <v>51</v>
      </c>
      <c r="D29" s="16"/>
      <c r="E29" s="154"/>
      <c r="F29" s="154"/>
      <c r="G29" s="154"/>
      <c r="H29" s="133"/>
      <c r="I29" s="133"/>
      <c r="J29" s="133"/>
      <c r="K29" s="133"/>
      <c r="L29" s="133"/>
      <c r="M29" s="133"/>
      <c r="N29" s="133"/>
      <c r="O29" s="133"/>
      <c r="P29" s="34"/>
      <c r="Q29" s="34"/>
      <c r="R29" s="34"/>
      <c r="S29" s="34"/>
      <c r="T29" s="34"/>
      <c r="U29" s="34"/>
      <c r="V29" s="34"/>
      <c r="W29" s="34"/>
    </row>
    <row r="30" spans="1:23" ht="15" customHeight="1" x14ac:dyDescent="0.2">
      <c r="A30" s="20" t="s">
        <v>94</v>
      </c>
      <c r="B30" s="21" t="s">
        <v>95</v>
      </c>
      <c r="C30" s="22" t="s">
        <v>51</v>
      </c>
      <c r="D30" s="16"/>
      <c r="E30" s="154"/>
      <c r="F30" s="154"/>
      <c r="G30" s="154"/>
      <c r="H30" s="133"/>
      <c r="I30" s="133"/>
      <c r="J30" s="133"/>
      <c r="K30" s="133"/>
      <c r="L30" s="133"/>
      <c r="M30" s="133"/>
      <c r="N30" s="133"/>
      <c r="O30" s="133"/>
      <c r="P30" s="34"/>
      <c r="Q30" s="34"/>
      <c r="R30" s="34"/>
      <c r="S30" s="34"/>
      <c r="T30" s="34"/>
      <c r="U30" s="34"/>
      <c r="V30" s="34"/>
      <c r="W30" s="34"/>
    </row>
    <row r="31" spans="1:23" ht="15" customHeight="1" x14ac:dyDescent="0.2">
      <c r="A31" s="20" t="s">
        <v>96</v>
      </c>
      <c r="B31" s="21" t="s">
        <v>97</v>
      </c>
      <c r="C31" s="22" t="s">
        <v>51</v>
      </c>
      <c r="D31" s="16"/>
      <c r="E31" s="154"/>
      <c r="F31" s="154"/>
      <c r="G31" s="154"/>
      <c r="H31" s="133"/>
      <c r="I31" s="133"/>
      <c r="J31" s="133"/>
      <c r="K31" s="133"/>
      <c r="L31" s="133"/>
      <c r="M31" s="133"/>
      <c r="N31" s="133"/>
      <c r="O31" s="133"/>
      <c r="P31" s="34"/>
      <c r="Q31" s="34"/>
      <c r="R31" s="34"/>
      <c r="S31" s="34"/>
      <c r="T31" s="34"/>
      <c r="U31" s="34"/>
      <c r="V31" s="34"/>
      <c r="W31" s="34"/>
    </row>
    <row r="32" spans="1:23" ht="15" customHeight="1" x14ac:dyDescent="0.2">
      <c r="A32" s="20" t="s">
        <v>98</v>
      </c>
      <c r="B32" s="21" t="s">
        <v>99</v>
      </c>
      <c r="C32" s="22" t="s">
        <v>51</v>
      </c>
      <c r="D32" s="16"/>
      <c r="E32" s="154"/>
      <c r="F32" s="154"/>
      <c r="G32" s="154"/>
      <c r="H32" s="133"/>
      <c r="I32" s="133"/>
      <c r="J32" s="133"/>
      <c r="K32" s="133"/>
      <c r="L32" s="133"/>
      <c r="M32" s="133"/>
      <c r="N32" s="133"/>
      <c r="O32" s="133"/>
      <c r="P32" s="34"/>
      <c r="Q32" s="34"/>
      <c r="R32" s="34"/>
      <c r="S32" s="34"/>
      <c r="T32" s="34"/>
      <c r="U32" s="34"/>
      <c r="V32" s="34"/>
      <c r="W32" s="34"/>
    </row>
    <row r="33" spans="1:23" ht="15" customHeight="1" x14ac:dyDescent="0.2">
      <c r="A33" s="20" t="s">
        <v>100</v>
      </c>
      <c r="B33" s="21" t="s">
        <v>101</v>
      </c>
      <c r="C33" s="22" t="s">
        <v>51</v>
      </c>
      <c r="D33" s="16"/>
      <c r="E33" s="154"/>
      <c r="F33" s="154"/>
      <c r="G33" s="154"/>
      <c r="H33" s="133"/>
      <c r="I33" s="133"/>
      <c r="J33" s="133"/>
      <c r="K33" s="133"/>
      <c r="L33" s="133"/>
      <c r="M33" s="133"/>
      <c r="N33" s="133"/>
      <c r="O33" s="133"/>
      <c r="P33" s="34"/>
      <c r="Q33" s="34"/>
      <c r="R33" s="34"/>
      <c r="S33" s="34"/>
      <c r="T33" s="34"/>
      <c r="U33" s="34"/>
      <c r="V33" s="34"/>
      <c r="W33" s="34"/>
    </row>
    <row r="34" spans="1:23" ht="15" customHeight="1" x14ac:dyDescent="0.2">
      <c r="A34" s="20" t="s">
        <v>102</v>
      </c>
      <c r="B34" s="21" t="s">
        <v>103</v>
      </c>
      <c r="C34" s="22" t="s">
        <v>51</v>
      </c>
      <c r="D34" s="16"/>
      <c r="E34" s="154"/>
      <c r="F34" s="154"/>
      <c r="G34" s="154"/>
      <c r="H34" s="133"/>
      <c r="I34" s="133"/>
      <c r="J34" s="133"/>
      <c r="K34" s="133"/>
      <c r="L34" s="133"/>
      <c r="M34" s="133"/>
      <c r="N34" s="133"/>
      <c r="O34" s="133"/>
      <c r="P34" s="34"/>
      <c r="Q34" s="34"/>
      <c r="R34" s="34"/>
      <c r="S34" s="34"/>
      <c r="T34" s="34"/>
      <c r="U34" s="34"/>
      <c r="V34" s="34"/>
      <c r="W34" s="34"/>
    </row>
    <row r="35" spans="1:23" ht="15" customHeight="1" x14ac:dyDescent="0.2">
      <c r="A35" s="23" t="s">
        <v>104</v>
      </c>
      <c r="B35" s="24" t="s">
        <v>105</v>
      </c>
      <c r="C35" s="25" t="s">
        <v>106</v>
      </c>
      <c r="D35" s="16"/>
      <c r="E35" s="154"/>
      <c r="F35" s="154"/>
      <c r="G35" s="154"/>
      <c r="H35" s="133"/>
      <c r="I35" s="133"/>
      <c r="J35" s="133"/>
      <c r="K35" s="133"/>
      <c r="L35" s="133"/>
      <c r="M35" s="133"/>
      <c r="N35" s="133"/>
      <c r="O35" s="133"/>
      <c r="P35" s="34"/>
      <c r="Q35" s="34"/>
      <c r="R35" s="34"/>
      <c r="S35" s="34"/>
      <c r="T35" s="34"/>
      <c r="U35" s="34"/>
      <c r="V35" s="34"/>
      <c r="W35" s="34"/>
    </row>
    <row r="36" spans="1:23" x14ac:dyDescent="0.2">
      <c r="A36" s="34"/>
      <c r="B36" s="34"/>
      <c r="C36" s="34"/>
      <c r="D36" s="34"/>
      <c r="E36" s="133"/>
      <c r="F36" s="133"/>
      <c r="G36" s="133"/>
      <c r="H36" s="133"/>
      <c r="I36" s="133"/>
      <c r="J36" s="133"/>
      <c r="K36" s="133"/>
      <c r="L36" s="133"/>
      <c r="M36" s="133"/>
      <c r="N36" s="133"/>
      <c r="O36" s="133"/>
      <c r="P36" s="34"/>
      <c r="Q36" s="34"/>
      <c r="R36" s="34"/>
      <c r="S36" s="34"/>
      <c r="T36" s="34"/>
      <c r="U36" s="34"/>
      <c r="V36" s="34"/>
      <c r="W36" s="34"/>
    </row>
    <row r="37" spans="1:23" x14ac:dyDescent="0.2">
      <c r="A37" s="181" t="s">
        <v>107</v>
      </c>
      <c r="B37" s="181"/>
      <c r="C37" s="181"/>
      <c r="D37" s="34"/>
      <c r="E37" s="133"/>
      <c r="F37" s="133"/>
      <c r="G37" s="133"/>
      <c r="H37" s="133"/>
      <c r="I37" s="133"/>
      <c r="J37" s="133"/>
      <c r="K37" s="133"/>
      <c r="L37" s="133"/>
      <c r="M37" s="133"/>
      <c r="N37" s="133"/>
      <c r="O37" s="133"/>
      <c r="P37" s="34"/>
      <c r="Q37" s="34"/>
      <c r="R37" s="34"/>
      <c r="S37" s="34"/>
      <c r="T37" s="34"/>
      <c r="U37" s="34"/>
      <c r="V37" s="34"/>
      <c r="W37" s="34"/>
    </row>
    <row r="38" spans="1:23" x14ac:dyDescent="0.2">
      <c r="A38" s="17" t="s">
        <v>108</v>
      </c>
      <c r="B38" s="18" t="s">
        <v>19</v>
      </c>
      <c r="C38" s="26" t="s">
        <v>109</v>
      </c>
      <c r="D38" s="34"/>
      <c r="E38" s="133"/>
      <c r="F38" s="133"/>
      <c r="G38" s="133"/>
      <c r="H38" s="133"/>
      <c r="I38" s="133"/>
      <c r="J38" s="133"/>
      <c r="K38" s="133"/>
      <c r="L38" s="133"/>
      <c r="M38" s="133"/>
      <c r="N38" s="133"/>
      <c r="O38" s="133"/>
      <c r="P38" s="34"/>
      <c r="Q38" s="34"/>
      <c r="R38" s="34"/>
      <c r="S38" s="34"/>
      <c r="T38" s="34"/>
      <c r="U38" s="34"/>
      <c r="V38" s="34"/>
      <c r="W38" s="34"/>
    </row>
    <row r="39" spans="1:23" ht="15" customHeight="1" x14ac:dyDescent="0.2">
      <c r="A39" s="27" t="s">
        <v>110</v>
      </c>
      <c r="B39" s="21">
        <v>1</v>
      </c>
      <c r="C39" s="28" t="s">
        <v>111</v>
      </c>
      <c r="D39" s="34"/>
      <c r="E39" s="133"/>
      <c r="F39" s="133"/>
      <c r="G39" s="133"/>
      <c r="H39" s="133"/>
      <c r="I39" s="133"/>
      <c r="J39" s="133"/>
      <c r="K39" s="133"/>
      <c r="L39" s="133"/>
      <c r="M39" s="133"/>
      <c r="N39" s="133"/>
      <c r="O39" s="133"/>
      <c r="P39" s="34"/>
      <c r="Q39" s="34"/>
      <c r="R39" s="34"/>
      <c r="S39" s="34"/>
      <c r="T39" s="34"/>
      <c r="U39" s="34"/>
      <c r="V39" s="34"/>
      <c r="W39" s="34"/>
    </row>
    <row r="40" spans="1:23" ht="15" customHeight="1" x14ac:dyDescent="0.2">
      <c r="A40" s="27" t="s">
        <v>112</v>
      </c>
      <c r="B40" s="21">
        <v>2</v>
      </c>
      <c r="C40" s="28" t="s">
        <v>113</v>
      </c>
      <c r="D40" s="34"/>
      <c r="E40" s="133"/>
      <c r="F40" s="133"/>
      <c r="G40" s="133"/>
      <c r="H40" s="133"/>
      <c r="I40" s="133"/>
      <c r="J40" s="133"/>
      <c r="K40" s="133"/>
      <c r="L40" s="133"/>
      <c r="M40" s="133"/>
      <c r="N40" s="133"/>
      <c r="O40" s="133"/>
      <c r="P40" s="34"/>
      <c r="Q40" s="34"/>
      <c r="R40" s="34"/>
      <c r="S40" s="34"/>
      <c r="T40" s="34"/>
      <c r="U40" s="34"/>
      <c r="V40" s="34"/>
      <c r="W40" s="34"/>
    </row>
    <row r="41" spans="1:23" ht="15" customHeight="1" x14ac:dyDescent="0.2">
      <c r="A41" s="27" t="s">
        <v>114</v>
      </c>
      <c r="B41" s="21">
        <v>3</v>
      </c>
      <c r="C41" s="28" t="s">
        <v>115</v>
      </c>
      <c r="D41" s="34"/>
      <c r="E41" s="133"/>
      <c r="F41" s="133"/>
      <c r="G41" s="133"/>
      <c r="H41" s="133"/>
      <c r="I41" s="133"/>
      <c r="J41" s="133"/>
      <c r="K41" s="133"/>
      <c r="L41" s="133"/>
      <c r="M41" s="133"/>
      <c r="N41" s="133"/>
      <c r="O41" s="133"/>
      <c r="P41" s="34"/>
      <c r="Q41" s="34"/>
      <c r="R41" s="34"/>
      <c r="S41" s="34"/>
      <c r="T41" s="34"/>
      <c r="U41" s="34"/>
      <c r="V41" s="34"/>
      <c r="W41" s="34"/>
    </row>
    <row r="42" spans="1:23" ht="15" customHeight="1" x14ac:dyDescent="0.2">
      <c r="A42" s="29" t="s">
        <v>116</v>
      </c>
      <c r="B42" s="24">
        <v>4</v>
      </c>
      <c r="C42" s="30" t="s">
        <v>117</v>
      </c>
      <c r="D42" s="34"/>
      <c r="E42" s="133"/>
      <c r="F42" s="133"/>
      <c r="G42" s="133"/>
      <c r="H42" s="133"/>
      <c r="I42" s="133"/>
      <c r="J42" s="133"/>
      <c r="K42" s="133"/>
      <c r="L42" s="133"/>
      <c r="M42" s="133"/>
      <c r="N42" s="133"/>
      <c r="O42" s="133"/>
      <c r="P42" s="34"/>
      <c r="Q42" s="34"/>
      <c r="R42" s="34"/>
      <c r="S42" s="34"/>
      <c r="T42" s="34"/>
      <c r="U42" s="34"/>
      <c r="V42" s="34"/>
      <c r="W42" s="34"/>
    </row>
    <row r="43" spans="1:23" x14ac:dyDescent="0.2">
      <c r="A43" s="31"/>
      <c r="B43" s="31"/>
      <c r="C43" s="31"/>
      <c r="D43" s="34"/>
      <c r="E43" s="133"/>
      <c r="F43" s="133"/>
      <c r="G43" s="133"/>
      <c r="H43" s="133"/>
      <c r="I43" s="133"/>
      <c r="J43" s="133"/>
      <c r="K43" s="133"/>
      <c r="L43" s="133"/>
      <c r="M43" s="133"/>
      <c r="N43" s="133"/>
      <c r="O43" s="133"/>
      <c r="P43" s="34"/>
      <c r="Q43" s="34"/>
      <c r="R43" s="34"/>
      <c r="S43" s="34"/>
      <c r="T43" s="34"/>
      <c r="U43" s="34"/>
      <c r="V43" s="34"/>
      <c r="W43" s="34"/>
    </row>
    <row r="44" spans="1:23" x14ac:dyDescent="0.2">
      <c r="A44" s="181" t="s">
        <v>118</v>
      </c>
      <c r="B44" s="181"/>
      <c r="C44" s="32"/>
      <c r="D44" s="34"/>
      <c r="E44" s="133"/>
      <c r="F44" s="133"/>
      <c r="G44" s="133"/>
      <c r="H44" s="133"/>
      <c r="I44" s="133"/>
      <c r="J44" s="133"/>
      <c r="K44" s="133"/>
      <c r="L44" s="133"/>
      <c r="M44" s="133"/>
      <c r="N44" s="133"/>
      <c r="O44" s="133"/>
      <c r="P44" s="34"/>
      <c r="Q44" s="34"/>
      <c r="R44" s="34"/>
      <c r="S44" s="34"/>
      <c r="T44" s="34"/>
      <c r="U44" s="34"/>
      <c r="V44" s="34"/>
      <c r="W44" s="34"/>
    </row>
    <row r="45" spans="1:23" x14ac:dyDescent="0.2">
      <c r="A45" s="17" t="s">
        <v>119</v>
      </c>
      <c r="B45" s="26" t="s">
        <v>120</v>
      </c>
      <c r="C45" s="33"/>
      <c r="D45" s="34"/>
      <c r="E45" s="133"/>
      <c r="F45" s="133"/>
      <c r="G45" s="133"/>
      <c r="H45" s="133"/>
      <c r="I45" s="133"/>
      <c r="J45" s="133"/>
      <c r="K45" s="133"/>
      <c r="L45" s="133"/>
      <c r="M45" s="133"/>
      <c r="N45" s="133"/>
      <c r="O45" s="133"/>
      <c r="P45" s="34"/>
      <c r="Q45" s="34"/>
      <c r="R45" s="34"/>
      <c r="S45" s="34"/>
      <c r="T45" s="34"/>
      <c r="U45" s="34"/>
      <c r="V45" s="34"/>
      <c r="W45" s="34"/>
    </row>
    <row r="46" spans="1:23" ht="15" customHeight="1" x14ac:dyDescent="0.2">
      <c r="A46" s="27" t="s">
        <v>121</v>
      </c>
      <c r="B46" s="28" t="s">
        <v>121</v>
      </c>
      <c r="C46" s="33"/>
      <c r="D46" s="34"/>
      <c r="E46" s="133"/>
      <c r="F46" s="133"/>
      <c r="G46" s="133"/>
      <c r="H46" s="133"/>
      <c r="I46" s="133"/>
      <c r="J46" s="133"/>
      <c r="K46" s="133"/>
      <c r="L46" s="133"/>
      <c r="M46" s="133"/>
      <c r="N46" s="133"/>
      <c r="O46" s="133"/>
      <c r="P46" s="34"/>
      <c r="Q46" s="34"/>
      <c r="R46" s="34"/>
      <c r="S46" s="34"/>
      <c r="T46" s="34"/>
      <c r="U46" s="34"/>
      <c r="V46" s="34"/>
      <c r="W46" s="34"/>
    </row>
    <row r="47" spans="1:23" ht="15" customHeight="1" x14ac:dyDescent="0.2">
      <c r="A47" s="27" t="s">
        <v>122</v>
      </c>
      <c r="B47" s="28" t="s">
        <v>122</v>
      </c>
      <c r="C47" s="33"/>
      <c r="D47" s="34"/>
      <c r="E47" s="133"/>
      <c r="F47" s="133"/>
      <c r="G47" s="133"/>
      <c r="H47" s="133"/>
      <c r="I47" s="133"/>
      <c r="J47" s="133"/>
      <c r="K47" s="133"/>
      <c r="L47" s="133"/>
      <c r="M47" s="133"/>
      <c r="N47" s="133"/>
      <c r="O47" s="133"/>
      <c r="P47" s="34"/>
      <c r="Q47" s="34"/>
      <c r="R47" s="34"/>
      <c r="S47" s="34"/>
      <c r="T47" s="34"/>
      <c r="U47" s="34"/>
      <c r="V47" s="34"/>
      <c r="W47" s="34"/>
    </row>
    <row r="48" spans="1:23" ht="15" customHeight="1" x14ac:dyDescent="0.2">
      <c r="A48" s="27" t="s">
        <v>83</v>
      </c>
      <c r="B48" s="28" t="s">
        <v>83</v>
      </c>
      <c r="C48" s="33"/>
      <c r="D48" s="34"/>
      <c r="E48" s="133"/>
      <c r="F48" s="133"/>
      <c r="G48" s="133"/>
      <c r="H48" s="133"/>
      <c r="I48" s="133"/>
      <c r="J48" s="133"/>
      <c r="K48" s="133"/>
      <c r="L48" s="133"/>
      <c r="M48" s="133"/>
      <c r="N48" s="133"/>
      <c r="O48" s="133"/>
      <c r="P48" s="34"/>
      <c r="Q48" s="34"/>
      <c r="R48" s="34"/>
      <c r="S48" s="34"/>
      <c r="T48" s="34"/>
      <c r="U48" s="34"/>
      <c r="V48" s="34"/>
      <c r="W48" s="34"/>
    </row>
    <row r="49" spans="1:23" ht="15" customHeight="1" x14ac:dyDescent="0.2">
      <c r="A49" s="27" t="s">
        <v>123</v>
      </c>
      <c r="B49" s="28" t="s">
        <v>123</v>
      </c>
      <c r="C49" s="33"/>
      <c r="D49" s="34"/>
      <c r="E49" s="133"/>
      <c r="F49" s="133"/>
      <c r="G49" s="133"/>
      <c r="H49" s="133"/>
      <c r="I49" s="133"/>
      <c r="J49" s="133"/>
      <c r="K49" s="133"/>
      <c r="L49" s="133"/>
      <c r="M49" s="133"/>
      <c r="N49" s="133"/>
      <c r="O49" s="133"/>
      <c r="P49" s="34"/>
      <c r="Q49" s="34"/>
      <c r="R49" s="34"/>
      <c r="S49" s="34"/>
      <c r="T49" s="34"/>
      <c r="U49" s="34"/>
      <c r="V49" s="34"/>
      <c r="W49" s="34"/>
    </row>
    <row r="50" spans="1:23" ht="15" customHeight="1" x14ac:dyDescent="0.2">
      <c r="A50" s="27" t="s">
        <v>124</v>
      </c>
      <c r="B50" s="28" t="s">
        <v>124</v>
      </c>
      <c r="C50" s="33"/>
      <c r="D50" s="34"/>
      <c r="E50" s="133"/>
      <c r="F50" s="133"/>
      <c r="G50" s="133"/>
      <c r="H50" s="133"/>
      <c r="I50" s="133"/>
      <c r="J50" s="133"/>
      <c r="K50" s="133"/>
      <c r="L50" s="133"/>
      <c r="M50" s="133"/>
      <c r="N50" s="133"/>
      <c r="O50" s="133"/>
      <c r="P50" s="34"/>
      <c r="Q50" s="34"/>
      <c r="R50" s="34"/>
      <c r="S50" s="34"/>
      <c r="T50" s="34"/>
      <c r="U50" s="34"/>
      <c r="V50" s="34"/>
      <c r="W50" s="34"/>
    </row>
    <row r="51" spans="1:23" ht="15" customHeight="1" x14ac:dyDescent="0.2">
      <c r="A51" s="27" t="s">
        <v>125</v>
      </c>
      <c r="B51" s="28" t="s">
        <v>126</v>
      </c>
      <c r="C51" s="33"/>
      <c r="D51" s="34"/>
      <c r="E51" s="133"/>
      <c r="F51" s="133"/>
      <c r="G51" s="133"/>
      <c r="H51" s="133"/>
      <c r="I51" s="133"/>
      <c r="J51" s="133"/>
      <c r="K51" s="133"/>
      <c r="L51" s="133"/>
      <c r="M51" s="133"/>
      <c r="N51" s="133"/>
      <c r="O51" s="133"/>
      <c r="P51" s="34"/>
      <c r="Q51" s="34"/>
      <c r="R51" s="34"/>
      <c r="S51" s="34"/>
      <c r="T51" s="34"/>
      <c r="U51" s="34"/>
      <c r="V51" s="34"/>
      <c r="W51" s="34"/>
    </row>
    <row r="52" spans="1:23" ht="15" customHeight="1" x14ac:dyDescent="0.2">
      <c r="A52" s="27" t="s">
        <v>127</v>
      </c>
      <c r="B52" s="28" t="s">
        <v>128</v>
      </c>
      <c r="C52" s="33"/>
      <c r="D52" s="34"/>
      <c r="E52" s="133"/>
      <c r="F52" s="133"/>
      <c r="G52" s="133"/>
      <c r="H52" s="133"/>
      <c r="I52" s="133"/>
      <c r="J52" s="133"/>
      <c r="K52" s="133"/>
      <c r="L52" s="133"/>
      <c r="M52" s="133"/>
      <c r="N52" s="133"/>
      <c r="O52" s="133"/>
      <c r="P52" s="34"/>
      <c r="Q52" s="34"/>
      <c r="R52" s="34"/>
      <c r="S52" s="34"/>
      <c r="T52" s="34"/>
      <c r="U52" s="34"/>
      <c r="V52" s="34"/>
      <c r="W52" s="34"/>
    </row>
    <row r="53" spans="1:23" ht="15" customHeight="1" x14ac:dyDescent="0.2">
      <c r="A53" s="29" t="s">
        <v>129</v>
      </c>
      <c r="B53" s="30" t="s">
        <v>129</v>
      </c>
      <c r="C53" s="34"/>
      <c r="D53" s="34"/>
      <c r="E53" s="133"/>
      <c r="F53" s="133"/>
      <c r="G53" s="133"/>
      <c r="H53" s="133"/>
      <c r="I53" s="133"/>
      <c r="J53" s="133"/>
      <c r="K53" s="133"/>
      <c r="L53" s="133"/>
      <c r="M53" s="133"/>
      <c r="N53" s="133"/>
      <c r="O53" s="133"/>
      <c r="P53" s="34"/>
      <c r="Q53" s="34"/>
      <c r="R53" s="34"/>
      <c r="S53" s="34"/>
      <c r="T53" s="34"/>
      <c r="U53" s="34"/>
      <c r="V53" s="34"/>
      <c r="W53" s="34"/>
    </row>
    <row r="54" spans="1:23" x14ac:dyDescent="0.2">
      <c r="A54" s="34"/>
      <c r="B54" s="34"/>
      <c r="C54" s="34"/>
      <c r="D54" s="34"/>
      <c r="E54" s="133"/>
      <c r="F54" s="133"/>
      <c r="G54" s="133"/>
      <c r="H54" s="133"/>
      <c r="I54" s="133"/>
      <c r="J54" s="133"/>
      <c r="K54" s="133"/>
      <c r="L54" s="133"/>
      <c r="M54" s="133"/>
      <c r="N54" s="133"/>
      <c r="O54" s="133"/>
      <c r="P54" s="34"/>
      <c r="Q54" s="34"/>
      <c r="R54" s="34"/>
      <c r="S54" s="34"/>
      <c r="T54" s="34"/>
      <c r="U54" s="34"/>
      <c r="V54" s="34"/>
      <c r="W54" s="34"/>
    </row>
    <row r="55" spans="1:23" x14ac:dyDescent="0.2">
      <c r="A55" s="182" t="s">
        <v>130</v>
      </c>
      <c r="B55" s="182"/>
      <c r="C55" s="34"/>
      <c r="D55" s="34"/>
      <c r="E55" s="133"/>
      <c r="F55" s="133"/>
      <c r="G55" s="133"/>
      <c r="H55" s="133"/>
      <c r="I55" s="133"/>
      <c r="J55" s="133"/>
      <c r="K55" s="133"/>
      <c r="L55" s="133"/>
      <c r="M55" s="133"/>
      <c r="N55" s="133"/>
      <c r="O55" s="133"/>
      <c r="P55" s="34"/>
      <c r="Q55" s="34"/>
      <c r="R55" s="34"/>
      <c r="S55" s="34"/>
      <c r="T55" s="34"/>
      <c r="U55" s="34"/>
      <c r="V55" s="34"/>
      <c r="W55" s="34"/>
    </row>
    <row r="56" spans="1:23" ht="25.5" x14ac:dyDescent="0.2">
      <c r="A56" s="35" t="s">
        <v>131</v>
      </c>
      <c r="B56" s="36" t="s">
        <v>132</v>
      </c>
      <c r="C56" s="34"/>
      <c r="D56" s="34"/>
      <c r="E56" s="133"/>
      <c r="F56" s="133"/>
      <c r="G56" s="133"/>
      <c r="H56" s="133"/>
      <c r="I56" s="133"/>
      <c r="J56" s="133"/>
      <c r="K56" s="133"/>
      <c r="L56" s="133"/>
      <c r="M56" s="133"/>
      <c r="N56" s="133"/>
      <c r="O56" s="133"/>
      <c r="P56" s="34"/>
      <c r="Q56" s="34"/>
      <c r="R56" s="34"/>
      <c r="S56" s="34"/>
      <c r="T56" s="34"/>
      <c r="U56" s="34"/>
      <c r="V56" s="34"/>
      <c r="W56" s="34"/>
    </row>
    <row r="57" spans="1:23" ht="15" customHeight="1" x14ac:dyDescent="0.2">
      <c r="A57" s="37" t="s">
        <v>133</v>
      </c>
      <c r="B57" s="40" t="s">
        <v>133</v>
      </c>
      <c r="C57" s="34"/>
      <c r="D57" s="34"/>
      <c r="E57" s="133"/>
      <c r="F57" s="133"/>
      <c r="G57" s="133"/>
      <c r="H57" s="133"/>
      <c r="I57" s="133"/>
      <c r="J57" s="133"/>
      <c r="K57" s="133"/>
      <c r="L57" s="133"/>
      <c r="M57" s="133"/>
      <c r="N57" s="133"/>
      <c r="O57" s="133"/>
      <c r="P57" s="34"/>
      <c r="Q57" s="34"/>
      <c r="R57" s="34"/>
      <c r="S57" s="34"/>
      <c r="T57" s="34"/>
      <c r="U57" s="34"/>
      <c r="V57" s="34"/>
      <c r="W57" s="34"/>
    </row>
    <row r="58" spans="1:23" ht="15" customHeight="1" x14ac:dyDescent="0.2">
      <c r="A58" s="37" t="s">
        <v>134</v>
      </c>
      <c r="B58" s="40" t="s">
        <v>135</v>
      </c>
      <c r="C58" s="34"/>
      <c r="D58" s="34"/>
      <c r="E58" s="133"/>
      <c r="F58" s="133"/>
      <c r="G58" s="133"/>
      <c r="H58" s="133"/>
      <c r="I58" s="133"/>
      <c r="J58" s="133"/>
      <c r="K58" s="133"/>
      <c r="L58" s="133"/>
      <c r="M58" s="133"/>
      <c r="N58" s="133"/>
      <c r="O58" s="133"/>
      <c r="P58" s="34"/>
      <c r="Q58" s="34"/>
      <c r="R58" s="34"/>
      <c r="S58" s="34"/>
      <c r="T58" s="34"/>
      <c r="U58" s="34"/>
      <c r="V58" s="34"/>
      <c r="W58" s="34"/>
    </row>
    <row r="59" spans="1:23" ht="15" customHeight="1" x14ac:dyDescent="0.2">
      <c r="A59" s="37" t="s">
        <v>136</v>
      </c>
      <c r="B59" s="40" t="s">
        <v>137</v>
      </c>
      <c r="C59" s="34"/>
      <c r="D59" s="34"/>
      <c r="E59" s="133"/>
      <c r="F59" s="133"/>
      <c r="G59" s="133"/>
      <c r="H59" s="133"/>
      <c r="I59" s="133"/>
      <c r="J59" s="133"/>
      <c r="K59" s="133"/>
      <c r="L59" s="133"/>
      <c r="M59" s="133"/>
      <c r="N59" s="133"/>
      <c r="O59" s="133"/>
      <c r="P59" s="34"/>
      <c r="Q59" s="34"/>
      <c r="R59" s="34"/>
      <c r="S59" s="34"/>
      <c r="T59" s="34"/>
      <c r="U59" s="34"/>
      <c r="V59" s="34"/>
      <c r="W59" s="34"/>
    </row>
    <row r="60" spans="1:23" ht="15" customHeight="1" x14ac:dyDescent="0.2">
      <c r="A60" s="37" t="s">
        <v>138</v>
      </c>
      <c r="B60" s="40" t="s">
        <v>139</v>
      </c>
      <c r="C60" s="34"/>
      <c r="D60" s="34"/>
      <c r="E60" s="133"/>
      <c r="F60" s="133"/>
      <c r="G60" s="133"/>
      <c r="H60" s="133"/>
      <c r="I60" s="133"/>
      <c r="J60" s="133"/>
      <c r="K60" s="133"/>
      <c r="L60" s="133"/>
      <c r="M60" s="133"/>
      <c r="N60" s="133"/>
      <c r="O60" s="133"/>
      <c r="P60" s="34"/>
      <c r="Q60" s="34"/>
      <c r="R60" s="34"/>
      <c r="S60" s="34"/>
      <c r="T60" s="34"/>
      <c r="U60" s="34"/>
      <c r="V60" s="34"/>
      <c r="W60" s="34"/>
    </row>
    <row r="61" spans="1:23" ht="15" customHeight="1" x14ac:dyDescent="0.2">
      <c r="A61" s="37" t="s">
        <v>140</v>
      </c>
      <c r="B61" s="40" t="s">
        <v>141</v>
      </c>
      <c r="C61" s="34"/>
      <c r="D61" s="34"/>
      <c r="E61" s="34"/>
      <c r="F61" s="34"/>
      <c r="G61" s="34"/>
      <c r="H61" s="34"/>
      <c r="I61" s="34"/>
      <c r="J61" s="34"/>
      <c r="K61" s="34"/>
      <c r="L61" s="34"/>
      <c r="M61" s="34"/>
      <c r="N61" s="34"/>
      <c r="O61" s="34"/>
      <c r="P61" s="34"/>
      <c r="Q61" s="34"/>
      <c r="R61" s="34"/>
      <c r="S61" s="34"/>
      <c r="T61" s="34"/>
      <c r="U61" s="34"/>
      <c r="V61" s="34"/>
      <c r="W61" s="34"/>
    </row>
    <row r="62" spans="1:23" ht="15" customHeight="1" x14ac:dyDescent="0.2">
      <c r="A62" s="37" t="s">
        <v>142</v>
      </c>
      <c r="B62" s="40" t="s">
        <v>143</v>
      </c>
      <c r="C62" s="34"/>
      <c r="D62" s="34"/>
      <c r="E62" s="34"/>
      <c r="F62" s="34"/>
      <c r="G62" s="34"/>
      <c r="H62" s="34"/>
      <c r="I62" s="34"/>
      <c r="J62" s="34"/>
      <c r="K62" s="34"/>
      <c r="L62" s="34"/>
      <c r="M62" s="34"/>
      <c r="N62" s="34"/>
      <c r="O62" s="34"/>
      <c r="P62" s="34"/>
      <c r="Q62" s="34"/>
      <c r="R62" s="34"/>
      <c r="S62" s="34"/>
      <c r="T62" s="34"/>
      <c r="U62" s="34"/>
      <c r="V62" s="34"/>
      <c r="W62" s="34"/>
    </row>
    <row r="63" spans="1:23" ht="15" customHeight="1" x14ac:dyDescent="0.2">
      <c r="A63" s="37" t="s">
        <v>144</v>
      </c>
      <c r="B63" s="40" t="s">
        <v>145</v>
      </c>
      <c r="C63" s="34"/>
      <c r="D63" s="34"/>
      <c r="E63" s="34"/>
      <c r="F63" s="34"/>
      <c r="G63" s="34"/>
      <c r="H63" s="34"/>
      <c r="I63" s="34"/>
      <c r="J63" s="34"/>
      <c r="K63" s="34"/>
      <c r="L63" s="34"/>
      <c r="M63" s="34"/>
      <c r="N63" s="34"/>
      <c r="O63" s="34"/>
      <c r="P63" s="34"/>
      <c r="Q63" s="34"/>
      <c r="R63" s="34"/>
      <c r="S63" s="34"/>
      <c r="T63" s="34"/>
      <c r="U63" s="34"/>
      <c r="V63" s="34"/>
      <c r="W63" s="34"/>
    </row>
    <row r="64" spans="1:23" ht="15" customHeight="1" x14ac:dyDescent="0.2">
      <c r="A64" s="37" t="s">
        <v>146</v>
      </c>
      <c r="B64" s="40" t="s">
        <v>147</v>
      </c>
      <c r="C64" s="34"/>
      <c r="D64" s="34"/>
      <c r="E64" s="34"/>
      <c r="F64" s="34"/>
      <c r="G64" s="34"/>
      <c r="H64" s="34"/>
      <c r="I64" s="34"/>
      <c r="J64" s="34"/>
      <c r="K64" s="34"/>
      <c r="L64" s="34"/>
      <c r="M64" s="34"/>
      <c r="N64" s="34"/>
      <c r="O64" s="34"/>
      <c r="P64" s="34"/>
      <c r="Q64" s="34"/>
      <c r="R64" s="34"/>
      <c r="S64" s="34"/>
      <c r="T64" s="34"/>
      <c r="U64" s="34"/>
      <c r="V64" s="34"/>
      <c r="W64" s="34"/>
    </row>
    <row r="65" spans="1:23" ht="15" customHeight="1" x14ac:dyDescent="0.2">
      <c r="A65" s="37" t="s">
        <v>148</v>
      </c>
      <c r="B65" s="40" t="s">
        <v>149</v>
      </c>
      <c r="C65" s="34"/>
      <c r="D65" s="34"/>
      <c r="E65" s="34"/>
      <c r="F65" s="34"/>
      <c r="G65" s="34"/>
      <c r="H65" s="34"/>
      <c r="I65" s="34"/>
      <c r="J65" s="34"/>
      <c r="K65" s="34"/>
      <c r="L65" s="34"/>
      <c r="M65" s="34"/>
      <c r="N65" s="34"/>
      <c r="O65" s="34"/>
      <c r="P65" s="34"/>
      <c r="Q65" s="34"/>
      <c r="R65" s="34"/>
      <c r="S65" s="34"/>
      <c r="T65" s="34"/>
      <c r="U65" s="34"/>
      <c r="V65" s="34"/>
      <c r="W65" s="34"/>
    </row>
    <row r="66" spans="1:23" ht="15" customHeight="1" x14ac:dyDescent="0.2">
      <c r="A66" s="38" t="s">
        <v>150</v>
      </c>
      <c r="B66" s="41" t="s">
        <v>151</v>
      </c>
      <c r="C66" s="34"/>
      <c r="D66" s="34"/>
      <c r="E66" s="34"/>
      <c r="F66" s="34"/>
      <c r="G66" s="34"/>
      <c r="H66" s="34"/>
      <c r="I66" s="34"/>
      <c r="J66" s="34"/>
      <c r="K66" s="34"/>
      <c r="L66" s="34"/>
      <c r="M66" s="34"/>
      <c r="N66" s="34"/>
      <c r="O66" s="34"/>
      <c r="P66" s="34"/>
      <c r="Q66" s="34"/>
      <c r="R66" s="34"/>
      <c r="S66" s="34"/>
      <c r="T66" s="34"/>
      <c r="U66" s="34"/>
      <c r="V66" s="34"/>
      <c r="W66" s="34"/>
    </row>
  </sheetData>
  <mergeCells count="5">
    <mergeCell ref="A5:C5"/>
    <mergeCell ref="A37:C37"/>
    <mergeCell ref="A44:B44"/>
    <mergeCell ref="A55:B55"/>
    <mergeCell ref="A1:W1"/>
  </mergeCells>
  <dataValidations count="3">
    <dataValidation type="list" allowBlank="1" showInputMessage="1" showErrorMessage="1" sqref="D3">
      <formula1>$A$39:$A$42</formula1>
    </dataValidation>
    <dataValidation type="list" allowBlank="1" showInputMessage="1" showErrorMessage="1" sqref="E3">
      <formula1>$A$57:$A$66</formula1>
    </dataValidation>
    <dataValidation type="list" allowBlank="1" showInputMessage="1" showErrorMessage="1" sqref="W3">
      <formula1>"N,Y"</formula1>
    </dataValidation>
  </dataValidations>
  <pageMargins left="0.7" right="0.7" top="0.75" bottom="0.75" header="0.3" footer="0.3"/>
  <pageSetup scale="35"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90"/>
  <sheetViews>
    <sheetView showGridLines="0" view="pageBreakPreview" topLeftCell="A40" zoomScaleNormal="100" zoomScaleSheetLayoutView="100" workbookViewId="0">
      <selection activeCell="AO65" sqref="AO65"/>
    </sheetView>
  </sheetViews>
  <sheetFormatPr defaultRowHeight="15" customHeight="1" x14ac:dyDescent="0.2"/>
  <cols>
    <col min="1" max="1" width="4.1640625" style="117" customWidth="1"/>
    <col min="2" max="31" width="3.33203125" customWidth="1"/>
    <col min="32" max="32" width="4.1640625" customWidth="1"/>
    <col min="33" max="33" width="10.5" customWidth="1"/>
    <col min="34" max="63" width="3.33203125" customWidth="1"/>
    <col min="64" max="64" width="4.1640625" customWidth="1"/>
  </cols>
  <sheetData>
    <row r="1" spans="1:58" ht="30" customHeight="1" x14ac:dyDescent="0.2">
      <c r="A1" s="209" t="str">
        <f>"AR No. "&amp;'Report Data Export'!A3&amp;" - "&amp;'Report Data Export'!F3</f>
        <v>AR No. # - Lighting</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119"/>
    </row>
    <row r="2" spans="1:58" ht="15" customHeight="1" x14ac:dyDescent="0.2">
      <c r="A2" s="214" t="s">
        <v>467</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row>
    <row r="3" spans="1:58" s="45" customFormat="1" ht="15" customHeight="1" x14ac:dyDescent="0.2">
      <c r="A3" s="118"/>
      <c r="B3" s="44" t="s">
        <v>0</v>
      </c>
      <c r="C3" s="44"/>
      <c r="D3" s="44"/>
      <c r="E3" s="44"/>
      <c r="F3" s="44"/>
      <c r="G3" s="44"/>
    </row>
    <row r="5" spans="1:58" ht="15" customHeight="1" x14ac:dyDescent="0.2">
      <c r="B5" s="192" t="str">
        <f ca="1">"Install (type of lights) in the (where) (operated using occupancy sensors?). This will increase lighting efficiency (reduce operating hours?), reducing associated annual energy consumption by "&amp;TEXT(AR10/Calculation!C5,"##%")&amp;"."</f>
        <v>Install (type of lights) in the (where) (operated using occupancy sensors?). This will increase lighting efficiency (reduce operating hours?), reducing associated annual energy consumption by 20%.</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row>
    <row r="6" spans="1:58" ht="15" customHeight="1" x14ac:dyDescent="0.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row>
    <row r="7" spans="1:58" ht="15" customHeight="1" x14ac:dyDescent="0.2">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58" ht="15" customHeight="1" x14ac:dyDescent="0.2">
      <c r="E8" s="183" t="s">
        <v>379</v>
      </c>
      <c r="F8" s="183"/>
      <c r="G8" s="183"/>
      <c r="H8" s="183"/>
      <c r="I8" s="183"/>
      <c r="J8" s="183"/>
      <c r="K8" s="183"/>
      <c r="L8" s="183"/>
      <c r="M8" s="183"/>
      <c r="N8" s="183"/>
      <c r="O8" s="183"/>
      <c r="P8" s="183"/>
      <c r="Q8" s="183"/>
      <c r="R8" s="183"/>
      <c r="S8" s="183"/>
      <c r="T8" s="183"/>
      <c r="U8" s="183"/>
      <c r="V8" s="183"/>
      <c r="W8" s="183"/>
      <c r="X8" s="183"/>
      <c r="Y8" s="183"/>
      <c r="Z8" s="183"/>
      <c r="AA8" s="183"/>
      <c r="AB8" s="183"/>
      <c r="AI8" s="183" t="s">
        <v>379</v>
      </c>
      <c r="AJ8" s="183"/>
      <c r="AK8" s="183"/>
      <c r="AL8" s="183"/>
      <c r="AM8" s="183"/>
      <c r="AN8" s="183"/>
      <c r="AO8" s="183"/>
      <c r="AP8" s="183"/>
      <c r="AQ8" s="183"/>
      <c r="AR8" s="183"/>
      <c r="AS8" s="183"/>
      <c r="AT8" s="183"/>
      <c r="AU8" s="183"/>
      <c r="AV8" s="183"/>
      <c r="AW8" s="183"/>
      <c r="AX8" s="183"/>
      <c r="AY8" s="183"/>
      <c r="AZ8" s="183"/>
      <c r="BA8" s="183"/>
      <c r="BB8" s="183"/>
      <c r="BC8" s="183"/>
      <c r="BD8" s="183"/>
      <c r="BE8" s="183"/>
      <c r="BF8" s="183"/>
    </row>
    <row r="9" spans="1:58" ht="15" customHeight="1" x14ac:dyDescent="0.2">
      <c r="E9" s="212" t="s">
        <v>6</v>
      </c>
      <c r="F9" s="212"/>
      <c r="G9" s="212"/>
      <c r="H9" s="212"/>
      <c r="I9" s="212"/>
      <c r="J9" s="212"/>
      <c r="K9" s="212"/>
      <c r="L9" s="212"/>
      <c r="M9" s="212"/>
      <c r="N9" s="213" t="s">
        <v>7</v>
      </c>
      <c r="O9" s="213"/>
      <c r="P9" s="213"/>
      <c r="Q9" s="213"/>
      <c r="R9" s="213"/>
      <c r="S9" s="212" t="s">
        <v>8</v>
      </c>
      <c r="T9" s="212"/>
      <c r="U9" s="212"/>
      <c r="V9" s="212"/>
      <c r="W9" s="212"/>
      <c r="X9" s="213" t="s">
        <v>9</v>
      </c>
      <c r="Y9" s="213"/>
      <c r="Z9" s="213"/>
      <c r="AA9" s="213"/>
      <c r="AB9" s="213"/>
      <c r="AI9" s="212" t="s">
        <v>6</v>
      </c>
      <c r="AJ9" s="212"/>
      <c r="AK9" s="212"/>
      <c r="AL9" s="212"/>
      <c r="AM9" s="212"/>
      <c r="AN9" s="212"/>
      <c r="AO9" s="212"/>
      <c r="AP9" s="212"/>
      <c r="AQ9" s="212"/>
      <c r="AR9" s="213" t="s">
        <v>7</v>
      </c>
      <c r="AS9" s="213"/>
      <c r="AT9" s="213"/>
      <c r="AU9" s="213"/>
      <c r="AV9" s="213"/>
      <c r="AW9" s="212" t="s">
        <v>8</v>
      </c>
      <c r="AX9" s="212"/>
      <c r="AY9" s="212"/>
      <c r="AZ9" s="212"/>
      <c r="BA9" s="212"/>
      <c r="BB9" s="213" t="s">
        <v>9</v>
      </c>
      <c r="BC9" s="213"/>
      <c r="BD9" s="213"/>
      <c r="BE9" s="213"/>
      <c r="BF9" s="213"/>
    </row>
    <row r="10" spans="1:58" ht="15" customHeight="1" x14ac:dyDescent="0.2">
      <c r="E10" s="215" t="str">
        <f>AI10</f>
        <v>Electrical Consumption</v>
      </c>
      <c r="F10" s="215"/>
      <c r="G10" s="215"/>
      <c r="H10" s="215"/>
      <c r="I10" s="215"/>
      <c r="J10" s="215"/>
      <c r="K10" s="215"/>
      <c r="L10" s="215"/>
      <c r="M10" s="215"/>
      <c r="N10" s="216">
        <f ca="1">AR10</f>
        <v>10080</v>
      </c>
      <c r="O10" s="216"/>
      <c r="P10" s="216"/>
      <c r="Q10" s="216"/>
      <c r="R10" s="216"/>
      <c r="S10" s="219" t="str">
        <f>AW10</f>
        <v>kWh (site)</v>
      </c>
      <c r="T10" s="219"/>
      <c r="U10" s="219"/>
      <c r="V10" s="219"/>
      <c r="W10" s="219"/>
      <c r="X10" s="220">
        <f ca="1">BB10</f>
        <v>957.59999999999991</v>
      </c>
      <c r="Y10" s="220"/>
      <c r="Z10" s="220"/>
      <c r="AA10" s="220"/>
      <c r="AB10" s="220"/>
      <c r="AI10" s="225" t="s">
        <v>43</v>
      </c>
      <c r="AJ10" s="225"/>
      <c r="AK10" s="225"/>
      <c r="AL10" s="225"/>
      <c r="AM10" s="225"/>
      <c r="AN10" s="225"/>
      <c r="AO10" s="225"/>
      <c r="AP10" s="225"/>
      <c r="AQ10" s="225"/>
      <c r="AR10" s="222">
        <f ca="1">Calculation!C8</f>
        <v>10080</v>
      </c>
      <c r="AS10" s="222"/>
      <c r="AT10" s="222"/>
      <c r="AU10" s="222"/>
      <c r="AV10" s="222"/>
      <c r="AW10" s="230" t="str">
        <f>IF(AI10="","",VLOOKUP(AI10,Resource_Streams[],3,FALSE))</f>
        <v>kWh (site)</v>
      </c>
      <c r="AX10" s="230"/>
      <c r="AY10" s="230"/>
      <c r="AZ10" s="230"/>
      <c r="BA10" s="230"/>
      <c r="BB10" s="228">
        <f ca="1">Calculation!C9</f>
        <v>957.59999999999991</v>
      </c>
      <c r="BC10" s="228"/>
      <c r="BD10" s="228"/>
      <c r="BE10" s="228"/>
      <c r="BF10" s="228"/>
    </row>
    <row r="11" spans="1:58" ht="15" customHeight="1" x14ac:dyDescent="0.2">
      <c r="E11" s="217" t="str">
        <f t="shared" ref="E11" si="0">AI11</f>
        <v>Electrical Demand</v>
      </c>
      <c r="F11" s="217"/>
      <c r="G11" s="217"/>
      <c r="H11" s="217"/>
      <c r="I11" s="217"/>
      <c r="J11" s="217"/>
      <c r="K11" s="217"/>
      <c r="L11" s="217"/>
      <c r="M11" s="217"/>
      <c r="N11" s="202">
        <f ca="1">AR11</f>
        <v>30.239999999999995</v>
      </c>
      <c r="O11" s="202"/>
      <c r="P11" s="202"/>
      <c r="Q11" s="202"/>
      <c r="R11" s="202"/>
      <c r="S11" s="200" t="str">
        <f t="shared" ref="S11" si="1">AW11</f>
        <v>kW Months / yr</v>
      </c>
      <c r="T11" s="200"/>
      <c r="U11" s="200"/>
      <c r="V11" s="200"/>
      <c r="W11" s="200"/>
      <c r="X11" s="201">
        <f ca="1">BB11</f>
        <v>211.67999999999995</v>
      </c>
      <c r="Y11" s="201"/>
      <c r="Z11" s="201"/>
      <c r="AA11" s="201"/>
      <c r="AB11" s="201"/>
      <c r="AI11" s="224" t="s">
        <v>46</v>
      </c>
      <c r="AJ11" s="224"/>
      <c r="AK11" s="224"/>
      <c r="AL11" s="224"/>
      <c r="AM11" s="224"/>
      <c r="AN11" s="224"/>
      <c r="AO11" s="224"/>
      <c r="AP11" s="224"/>
      <c r="AQ11" s="224"/>
      <c r="AR11" s="223">
        <f ca="1">Calculation!C10</f>
        <v>30.239999999999995</v>
      </c>
      <c r="AS11" s="223"/>
      <c r="AT11" s="223"/>
      <c r="AU11" s="223"/>
      <c r="AV11" s="223"/>
      <c r="AW11" s="231" t="str">
        <f>IF(AI11="","",VLOOKUP(AI11,Resource_Streams[],3,FALSE))</f>
        <v>kW Months / yr</v>
      </c>
      <c r="AX11" s="231"/>
      <c r="AY11" s="231"/>
      <c r="AZ11" s="231"/>
      <c r="BA11" s="231"/>
      <c r="BB11" s="229">
        <f ca="1">Calculation!C11</f>
        <v>211.67999999999995</v>
      </c>
      <c r="BC11" s="229"/>
      <c r="BD11" s="229"/>
      <c r="BE11" s="229"/>
      <c r="BF11" s="229"/>
    </row>
    <row r="12" spans="1:58" ht="15" customHeight="1" x14ac:dyDescent="0.2">
      <c r="E12" s="217" t="s">
        <v>384</v>
      </c>
      <c r="F12" s="217"/>
      <c r="G12" s="217"/>
      <c r="H12" s="217"/>
      <c r="I12" s="217"/>
      <c r="J12" s="217"/>
      <c r="K12" s="217"/>
      <c r="L12" s="217"/>
      <c r="M12" s="217"/>
      <c r="N12" s="202"/>
      <c r="O12" s="202"/>
      <c r="P12" s="202"/>
      <c r="Q12" s="202"/>
      <c r="R12" s="202"/>
      <c r="S12" s="200"/>
      <c r="T12" s="200"/>
      <c r="U12" s="200"/>
      <c r="V12" s="200"/>
      <c r="W12" s="200"/>
      <c r="X12" s="201">
        <f ca="1">BB12</f>
        <v>33.704444444444448</v>
      </c>
      <c r="Y12" s="201"/>
      <c r="Z12" s="201"/>
      <c r="AA12" s="201"/>
      <c r="AB12" s="201"/>
      <c r="AI12" s="224" t="s">
        <v>94</v>
      </c>
      <c r="AJ12" s="224"/>
      <c r="AK12" s="224"/>
      <c r="AL12" s="224"/>
      <c r="AM12" s="224"/>
      <c r="AN12" s="224"/>
      <c r="AO12" s="224"/>
      <c r="AP12" s="224"/>
      <c r="AQ12" s="224"/>
      <c r="AR12" s="223"/>
      <c r="AS12" s="223"/>
      <c r="AT12" s="223"/>
      <c r="AU12" s="223"/>
      <c r="AV12" s="223"/>
      <c r="AW12" s="231" t="str">
        <f>IF(AI12="","",VLOOKUP(AI12,Resource_Streams[],3,FALSE))</f>
        <v>no units</v>
      </c>
      <c r="AX12" s="231"/>
      <c r="AY12" s="231"/>
      <c r="AZ12" s="231"/>
      <c r="BA12" s="231"/>
      <c r="BB12" s="229">
        <f ca="1">Calculation!C12</f>
        <v>33.704444444444448</v>
      </c>
      <c r="BC12" s="229"/>
      <c r="BD12" s="229"/>
      <c r="BE12" s="229"/>
      <c r="BF12" s="229"/>
    </row>
    <row r="13" spans="1:58" ht="15" customHeight="1" x14ac:dyDescent="0.2">
      <c r="E13" s="203" t="s">
        <v>385</v>
      </c>
      <c r="F13" s="203"/>
      <c r="G13" s="203"/>
      <c r="H13" s="203"/>
      <c r="I13" s="203"/>
      <c r="J13" s="203"/>
      <c r="K13" s="203"/>
      <c r="L13" s="203"/>
      <c r="M13" s="203"/>
      <c r="N13" s="204"/>
      <c r="O13" s="204"/>
      <c r="P13" s="204"/>
      <c r="Q13" s="204"/>
      <c r="R13" s="204"/>
      <c r="S13" s="226"/>
      <c r="T13" s="226"/>
      <c r="U13" s="226"/>
      <c r="V13" s="226"/>
      <c r="W13" s="226"/>
      <c r="X13" s="227">
        <f ca="1">BB13</f>
        <v>132.33333333333334</v>
      </c>
      <c r="Y13" s="227"/>
      <c r="Z13" s="227"/>
      <c r="AA13" s="227"/>
      <c r="AB13" s="227"/>
      <c r="AI13" s="221" t="s">
        <v>90</v>
      </c>
      <c r="AJ13" s="221"/>
      <c r="AK13" s="221"/>
      <c r="AL13" s="221"/>
      <c r="AM13" s="221"/>
      <c r="AN13" s="221"/>
      <c r="AO13" s="221"/>
      <c r="AP13" s="221"/>
      <c r="AQ13" s="221"/>
      <c r="AR13" s="186"/>
      <c r="AS13" s="186"/>
      <c r="AT13" s="186"/>
      <c r="AU13" s="186"/>
      <c r="AV13" s="186"/>
      <c r="AW13" s="218" t="str">
        <f>IF(AI13="","",VLOOKUP(AI13,Resource_Streams[],3,FALSE))</f>
        <v>no units</v>
      </c>
      <c r="AX13" s="218"/>
      <c r="AY13" s="218"/>
      <c r="AZ13" s="218"/>
      <c r="BA13" s="218"/>
      <c r="BB13" s="193">
        <f ca="1">Calculation!C13</f>
        <v>132.33333333333334</v>
      </c>
      <c r="BC13" s="193"/>
      <c r="BD13" s="193"/>
      <c r="BE13" s="193"/>
      <c r="BF13" s="193"/>
    </row>
    <row r="14" spans="1:58" ht="15" customHeight="1" x14ac:dyDescent="0.2">
      <c r="E14" s="205" t="s">
        <v>10</v>
      </c>
      <c r="F14" s="205"/>
      <c r="G14" s="205"/>
      <c r="H14" s="205"/>
      <c r="I14" s="205"/>
      <c r="J14" s="205"/>
      <c r="K14" s="205"/>
      <c r="L14" s="205"/>
      <c r="M14" s="205"/>
      <c r="N14" s="206">
        <f ca="1">N10*3413/1000000</f>
        <v>34.403039999999997</v>
      </c>
      <c r="O14" s="206"/>
      <c r="P14" s="206"/>
      <c r="Q14" s="206"/>
      <c r="R14" s="206"/>
      <c r="S14" s="207" t="s">
        <v>14</v>
      </c>
      <c r="T14" s="207"/>
      <c r="U14" s="207"/>
      <c r="V14" s="207"/>
      <c r="W14" s="207"/>
      <c r="X14" s="208">
        <f ca="1">SUM(X10:AB13)</f>
        <v>1335.3177777777776</v>
      </c>
      <c r="Y14" s="208"/>
      <c r="Z14" s="208"/>
      <c r="AA14" s="208"/>
      <c r="AB14" s="208"/>
      <c r="AI14" s="185" t="s">
        <v>10</v>
      </c>
      <c r="AJ14" s="185"/>
      <c r="AK14" s="185"/>
      <c r="AL14" s="185"/>
      <c r="AM14" s="185"/>
      <c r="AN14" s="185"/>
      <c r="AO14" s="185"/>
      <c r="AP14" s="185"/>
      <c r="AQ14" s="185"/>
      <c r="AR14" s="184"/>
      <c r="AS14" s="184"/>
      <c r="AT14" s="184"/>
      <c r="AU14" s="184"/>
      <c r="AV14" s="184"/>
      <c r="AW14" s="195" t="s">
        <v>14</v>
      </c>
      <c r="AX14" s="195"/>
      <c r="AY14" s="195"/>
      <c r="AZ14" s="195"/>
      <c r="BA14" s="195"/>
      <c r="BB14" s="194">
        <f ca="1">Calculation!C24</f>
        <v>1335.3177777777778</v>
      </c>
      <c r="BC14" s="194"/>
      <c r="BD14" s="194"/>
      <c r="BE14" s="194"/>
      <c r="BF14" s="194"/>
    </row>
    <row r="15" spans="1:58" ht="15" customHeight="1" x14ac:dyDescent="0.2">
      <c r="E15" s="8"/>
      <c r="AI15" s="191" t="s">
        <v>387</v>
      </c>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row>
    <row r="16" spans="1:58" s="42" customFormat="1" ht="15" customHeight="1" x14ac:dyDescent="0.2">
      <c r="A16" s="117"/>
      <c r="E16" s="183" t="s">
        <v>182</v>
      </c>
      <c r="F16" s="183"/>
      <c r="G16" s="183"/>
      <c r="H16" s="183"/>
      <c r="I16" s="183"/>
      <c r="J16" s="183"/>
      <c r="K16" s="183"/>
      <c r="L16" s="183"/>
      <c r="M16" s="183"/>
      <c r="N16" s="183"/>
      <c r="O16" s="183"/>
      <c r="P16" s="183"/>
      <c r="Q16" s="183"/>
      <c r="R16" s="183"/>
      <c r="S16" s="183"/>
      <c r="T16" s="183"/>
      <c r="U16" s="183"/>
      <c r="V16" s="183"/>
      <c r="W16" s="183"/>
      <c r="X16" s="183"/>
      <c r="Y16" s="183"/>
      <c r="Z16" s="183"/>
      <c r="AA16" s="183"/>
      <c r="AB16" s="183"/>
    </row>
    <row r="17" spans="1:31" s="42" customFormat="1" ht="15" customHeight="1" x14ac:dyDescent="0.2">
      <c r="A17" s="117"/>
      <c r="E17" s="212" t="s">
        <v>152</v>
      </c>
      <c r="F17" s="212"/>
      <c r="G17" s="212"/>
      <c r="H17" s="212"/>
      <c r="I17" s="212"/>
      <c r="J17" s="212"/>
      <c r="K17" s="212"/>
      <c r="L17" s="212"/>
      <c r="M17" s="212"/>
      <c r="N17" s="213"/>
      <c r="O17" s="213"/>
      <c r="P17" s="213"/>
      <c r="Q17" s="213"/>
      <c r="R17" s="213"/>
      <c r="S17" s="213" t="s">
        <v>153</v>
      </c>
      <c r="T17" s="213"/>
      <c r="U17" s="213"/>
      <c r="V17" s="213"/>
      <c r="W17" s="213"/>
      <c r="X17" s="213" t="s">
        <v>380</v>
      </c>
      <c r="Y17" s="213"/>
      <c r="Z17" s="213"/>
      <c r="AA17" s="213"/>
      <c r="AB17" s="213"/>
    </row>
    <row r="18" spans="1:31" ht="15" customHeight="1" x14ac:dyDescent="0.2">
      <c r="E18" s="197" t="s">
        <v>36</v>
      </c>
      <c r="F18" s="197"/>
      <c r="G18" s="197"/>
      <c r="H18" s="197"/>
      <c r="I18" s="197"/>
      <c r="J18" s="197"/>
      <c r="K18" s="197"/>
      <c r="L18" s="197"/>
      <c r="M18" s="197"/>
      <c r="N18" s="198"/>
      <c r="O18" s="198"/>
      <c r="P18" s="198"/>
      <c r="Q18" s="198"/>
      <c r="R18" s="198"/>
      <c r="S18" s="199">
        <f ca="1">Calculation!C25</f>
        <v>7301</v>
      </c>
      <c r="T18" s="199"/>
      <c r="U18" s="199"/>
      <c r="V18" s="199"/>
      <c r="W18" s="199"/>
      <c r="X18" s="211">
        <f ca="1">Calculation!C26</f>
        <v>5.467612370255603</v>
      </c>
      <c r="Y18" s="211"/>
      <c r="Z18" s="211"/>
      <c r="AA18" s="211"/>
      <c r="AB18" s="211"/>
    </row>
    <row r="19" spans="1:31" s="42" customFormat="1" ht="15" customHeight="1" x14ac:dyDescent="0.2">
      <c r="A19" s="117"/>
      <c r="E19" s="46"/>
      <c r="F19" s="46"/>
      <c r="G19" s="46"/>
      <c r="H19" s="46"/>
      <c r="I19" s="46"/>
      <c r="J19" s="46"/>
      <c r="K19" s="46"/>
      <c r="L19" s="46"/>
      <c r="M19" s="46"/>
      <c r="N19" s="47"/>
      <c r="O19" s="47"/>
      <c r="P19" s="47"/>
      <c r="Q19" s="47"/>
      <c r="R19" s="47"/>
      <c r="S19" s="45"/>
      <c r="T19" s="45"/>
      <c r="U19" s="45"/>
      <c r="V19" s="45"/>
      <c r="W19" s="45"/>
      <c r="X19" s="48"/>
      <c r="Y19" s="48"/>
      <c r="Z19" s="48"/>
      <c r="AA19" s="48"/>
      <c r="AB19" s="48"/>
    </row>
    <row r="20" spans="1:31" s="42" customFormat="1" ht="15" customHeight="1" x14ac:dyDescent="0.2">
      <c r="A20" s="117"/>
      <c r="E20" s="46"/>
      <c r="F20" s="46"/>
      <c r="G20" s="46"/>
      <c r="H20" s="46"/>
      <c r="I20" s="46"/>
      <c r="J20" s="46"/>
      <c r="K20" s="46"/>
      <c r="L20" s="46"/>
      <c r="M20" s="46"/>
      <c r="N20" s="47"/>
      <c r="O20" s="47"/>
      <c r="P20" s="47"/>
      <c r="Q20" s="47"/>
      <c r="R20" s="47"/>
      <c r="S20" s="45"/>
      <c r="T20" s="45"/>
      <c r="U20" s="45"/>
      <c r="V20" s="45"/>
      <c r="W20" s="45"/>
      <c r="X20" s="48"/>
      <c r="Y20" s="48"/>
      <c r="Z20" s="48"/>
      <c r="AA20" s="48"/>
      <c r="AB20" s="48"/>
    </row>
    <row r="21" spans="1:31" s="45" customFormat="1" ht="15" customHeight="1" x14ac:dyDescent="0.2">
      <c r="A21" s="118"/>
      <c r="B21" s="44" t="s">
        <v>2</v>
      </c>
      <c r="C21" s="44"/>
      <c r="D21" s="44"/>
      <c r="E21" s="44"/>
      <c r="F21" s="44"/>
      <c r="G21" s="44"/>
      <c r="H21" s="44"/>
    </row>
    <row r="23" spans="1:31" ht="15" customHeight="1" x14ac:dyDescent="0.2">
      <c r="B23" s="192" t="s">
        <v>1</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row>
    <row r="24" spans="1:31" ht="15" customHeight="1" x14ac:dyDescent="0.2">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row>
    <row r="25" spans="1:31" ht="15" customHeight="1" x14ac:dyDescent="0.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row>
    <row r="26" spans="1:31" ht="15" customHeight="1" x14ac:dyDescent="0.2">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row>
    <row r="27" spans="1:31" ht="15" customHeight="1" x14ac:dyDescent="0.2">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row>
    <row r="28" spans="1:31" ht="15" customHeight="1" x14ac:dyDescent="0.2">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30" spans="1:31" s="45" customFormat="1" ht="15" customHeight="1" x14ac:dyDescent="0.2">
      <c r="A30" s="118"/>
      <c r="B30" s="44" t="s">
        <v>4</v>
      </c>
      <c r="C30" s="44"/>
      <c r="D30" s="44"/>
      <c r="E30" s="44"/>
      <c r="F30" s="44"/>
      <c r="G30" s="44"/>
      <c r="H30" s="44"/>
      <c r="I30" s="44"/>
    </row>
    <row r="32" spans="1:31" ht="15" customHeight="1" x14ac:dyDescent="0.2">
      <c r="B32" s="192" t="s">
        <v>3</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row>
    <row r="33" spans="1:31" ht="15" customHeight="1" x14ac:dyDescent="0.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row>
    <row r="34" spans="1:31" ht="15" customHeight="1" x14ac:dyDescent="0.2">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1:31" s="130" customFormat="1" ht="15" customHeight="1" x14ac:dyDescent="0.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row>
    <row r="36" spans="1:31" s="130" customFormat="1" ht="15" customHeight="1" x14ac:dyDescent="0.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row>
    <row r="37" spans="1:31" s="130" customFormat="1" ht="15" customHeight="1" x14ac:dyDescent="0.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row>
    <row r="38" spans="1:31" s="130" customFormat="1" ht="15" customHeight="1" x14ac:dyDescent="0.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row>
    <row r="39" spans="1:31" s="130" customFormat="1" ht="15" customHeight="1" x14ac:dyDescent="0.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row>
    <row r="40" spans="1:31" s="130" customFormat="1" ht="15" customHeight="1" x14ac:dyDescent="0.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row>
    <row r="41" spans="1:31" s="130" customFormat="1" ht="15" customHeight="1" x14ac:dyDescent="0.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row>
    <row r="42" spans="1:31" s="130" customFormat="1" ht="15" customHeight="1" x14ac:dyDescent="0.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row>
    <row r="43" spans="1:31" s="130" customFormat="1" ht="15" customHeight="1" x14ac:dyDescent="0.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row>
    <row r="44" spans="1:31" s="130" customFormat="1" ht="15" customHeight="1" x14ac:dyDescent="0.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row>
    <row r="45" spans="1:31" s="130" customFormat="1" ht="15" customHeight="1" x14ac:dyDescent="0.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row>
    <row r="46" spans="1:31" s="130" customFormat="1" ht="15" customHeight="1" x14ac:dyDescent="0.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row>
    <row r="47" spans="1:31" s="45" customFormat="1" ht="15" customHeight="1" x14ac:dyDescent="0.2">
      <c r="A47" s="118"/>
      <c r="B47" s="44" t="s">
        <v>5</v>
      </c>
      <c r="C47" s="44"/>
      <c r="D47" s="44"/>
    </row>
    <row r="49" spans="2:33" ht="15" customHeight="1" x14ac:dyDescent="0.2">
      <c r="B49" s="192" t="str">
        <f ca="1">"Install (type of lights, where, etc.)."&amp;" (Reasons why). (More on how it will be implemented). "&amp;"This will (increase lighting efficiency, reduce operating hours?), reducing annual energy cost by "&amp;TEXT(X10,"$###,###,###")&amp;" and annual demand cost by "&amp;TEXT(X11,"$###,###,###")&amp;". Additionally, improved lighting is estimated to reduce total maintenance costs by "&amp;TEXT(X12+X13,"$###,###,###")&amp;" per year. Annual cost savings are estimated at "&amp;TEXT(X14,"$###,###,###")&amp;" after an implementation cost of "&amp;TEXT(S18,"$###,###,###")&amp;", resulting in a payback period of "&amp;TEXT(X18,"0.0")&amp;" years."</f>
        <v>Install (type of lights, where, etc.). (Reasons why). (More on how it will be implemented). This will (increase lighting efficiency, reduce operating hours?), reducing annual energy cost by $958 and annual demand cost by $212. Additionally, improved lighting is estimated to reduce total maintenance costs by $166 per year. Annual cost savings are estimated at $1,335 after an implementation cost of $7,301, resulting in a payback period of 5.5 years.</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row>
    <row r="50" spans="2:33" ht="15" customHeight="1" x14ac:dyDescent="0.2">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row>
    <row r="51" spans="2:33" ht="15" customHeight="1" x14ac:dyDescent="0.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row>
    <row r="52" spans="2:33" ht="15" customHeight="1" x14ac:dyDescent="0.2">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row>
    <row r="53" spans="2:33" ht="15" customHeight="1" x14ac:dyDescent="0.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row>
    <row r="54" spans="2:33" ht="15" customHeight="1" x14ac:dyDescent="0.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row>
    <row r="55" spans="2:33" ht="15" customHeight="1" x14ac:dyDescent="0.2">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row>
    <row r="56" spans="2:33" ht="15" customHeight="1" x14ac:dyDescent="0.2">
      <c r="B56" s="192" t="s">
        <v>391</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row>
    <row r="57" spans="2:33" ht="15" customHeight="1" x14ac:dyDescent="0.2">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2:33" ht="15" customHeight="1" x14ac:dyDescent="0.2">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2:33" ht="15" customHeight="1" x14ac:dyDescent="0.25">
      <c r="B59" s="157" t="s">
        <v>193</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G59" s="266" t="s">
        <v>489</v>
      </c>
    </row>
    <row r="60" spans="2:33" ht="15"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2:33" ht="15" customHeight="1" x14ac:dyDescent="0.2">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2:33" ht="15" customHeight="1" x14ac:dyDescent="0.2">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2:33" ht="15" customHeight="1" x14ac:dyDescent="0.2">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2:33" ht="15" customHeight="1" x14ac:dyDescent="0.2">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2:31" ht="15" customHeight="1" x14ac:dyDescent="0.2">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2:31" ht="15" customHeight="1" x14ac:dyDescent="0.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2:31" ht="15" customHeight="1" x14ac:dyDescent="0.2">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2:31" ht="15" customHeight="1" x14ac:dyDescent="0.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2:31" ht="15" customHeight="1" x14ac:dyDescent="0.2">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2:31" ht="15" customHeight="1" x14ac:dyDescent="0.2">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2:31" ht="15" customHeight="1" x14ac:dyDescent="0.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2:31" ht="15" customHeight="1" x14ac:dyDescent="0.2">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2:31" ht="15" customHeight="1" x14ac:dyDescent="0.2">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2:31" ht="15" customHeight="1" x14ac:dyDescent="0.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2:31" ht="15" customHeight="1" x14ac:dyDescent="0.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2:31" ht="15" customHeight="1" x14ac:dyDescent="0.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2:31" ht="15" customHeight="1" x14ac:dyDescent="0.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2:31" ht="15" customHeight="1" x14ac:dyDescent="0.2">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2:31" ht="15" customHeight="1" x14ac:dyDescent="0.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2:31" ht="15" customHeight="1" x14ac:dyDescent="0.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2:31" ht="15" customHeight="1" x14ac:dyDescent="0.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2:31" ht="15" customHeight="1" x14ac:dyDescent="0.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2:31" ht="15" customHeight="1" x14ac:dyDescent="0.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2:31" ht="15" customHeight="1" x14ac:dyDescent="0.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2:31" ht="15" customHeight="1" x14ac:dyDescent="0.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2:31" ht="15" customHeight="1" x14ac:dyDescent="0.2">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2:31" ht="15" customHeight="1" x14ac:dyDescent="0.2">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2:31" ht="15" customHeight="1" x14ac:dyDescent="0.2">
      <c r="B88" s="189" t="s">
        <v>11</v>
      </c>
      <c r="C88" s="189"/>
      <c r="D88" s="189"/>
      <c r="E88" s="189"/>
      <c r="F88" s="189"/>
      <c r="G88" s="189"/>
      <c r="H88" s="189" t="s">
        <v>376</v>
      </c>
      <c r="I88" s="189"/>
      <c r="J88" s="189"/>
      <c r="K88" s="189"/>
      <c r="L88" s="189"/>
      <c r="M88" s="189"/>
      <c r="N88" s="189" t="s">
        <v>12</v>
      </c>
      <c r="O88" s="189"/>
      <c r="P88" s="189"/>
      <c r="Q88" s="189"/>
      <c r="R88" s="189"/>
      <c r="S88" s="189"/>
      <c r="T88" s="189" t="s">
        <v>377</v>
      </c>
      <c r="U88" s="189"/>
      <c r="V88" s="189"/>
      <c r="W88" s="189"/>
      <c r="X88" s="189"/>
      <c r="Y88" s="189"/>
      <c r="Z88" s="189" t="s">
        <v>378</v>
      </c>
      <c r="AA88" s="189"/>
      <c r="AB88" s="189"/>
      <c r="AC88" s="189"/>
      <c r="AD88" s="189"/>
      <c r="AE88" s="189"/>
    </row>
    <row r="89" spans="2:31" ht="15" customHeight="1" x14ac:dyDescent="0.2">
      <c r="B89" s="190" t="s">
        <v>154</v>
      </c>
      <c r="C89" s="190"/>
      <c r="D89" s="190"/>
      <c r="E89" s="190"/>
      <c r="F89" s="190"/>
      <c r="G89" s="190"/>
      <c r="H89" s="187" t="s">
        <v>13</v>
      </c>
      <c r="I89" s="187"/>
      <c r="J89" s="187"/>
      <c r="K89" s="187"/>
      <c r="L89" s="187"/>
      <c r="M89" s="187"/>
      <c r="N89" s="188" t="s">
        <v>13</v>
      </c>
      <c r="O89" s="188"/>
      <c r="P89" s="188"/>
      <c r="Q89" s="188"/>
      <c r="R89" s="188"/>
      <c r="S89" s="188"/>
      <c r="T89" s="187" t="s">
        <v>13</v>
      </c>
      <c r="U89" s="187"/>
      <c r="V89" s="187"/>
      <c r="W89" s="187"/>
      <c r="X89" s="187"/>
      <c r="Y89" s="187"/>
      <c r="Z89" s="190" t="s">
        <v>13</v>
      </c>
      <c r="AA89" s="190"/>
      <c r="AB89" s="190"/>
      <c r="AC89" s="190"/>
      <c r="AD89" s="190"/>
      <c r="AE89" s="190"/>
    </row>
    <row r="90" spans="2:31" ht="15" customHeight="1" x14ac:dyDescent="0.2">
      <c r="B90" s="196"/>
      <c r="C90" s="196"/>
      <c r="D90" s="196"/>
      <c r="E90" s="196"/>
      <c r="F90" s="196"/>
      <c r="G90" s="196"/>
      <c r="H90" s="187" t="s">
        <v>13</v>
      </c>
      <c r="I90" s="187"/>
      <c r="J90" s="187"/>
      <c r="K90" s="187"/>
      <c r="L90" s="187"/>
      <c r="M90" s="187"/>
      <c r="N90" s="120"/>
      <c r="O90" s="120"/>
      <c r="P90" s="120"/>
      <c r="Q90" s="120"/>
      <c r="R90" s="120"/>
      <c r="S90" s="120"/>
      <c r="T90" s="187"/>
      <c r="U90" s="187"/>
      <c r="V90" s="187"/>
      <c r="W90" s="187"/>
      <c r="X90" s="187"/>
      <c r="Y90" s="187"/>
      <c r="Z90" s="190"/>
      <c r="AA90" s="190"/>
      <c r="AB90" s="190"/>
      <c r="AC90" s="190"/>
      <c r="AD90" s="190"/>
      <c r="AE90" s="190"/>
    </row>
  </sheetData>
  <mergeCells count="81">
    <mergeCell ref="BB10:BF10"/>
    <mergeCell ref="BB11:BF11"/>
    <mergeCell ref="BB12:BF12"/>
    <mergeCell ref="AR9:AV9"/>
    <mergeCell ref="AW9:BA9"/>
    <mergeCell ref="AW10:BA10"/>
    <mergeCell ref="AW11:BA11"/>
    <mergeCell ref="AW12:BA12"/>
    <mergeCell ref="N9:R9"/>
    <mergeCell ref="S9:W9"/>
    <mergeCell ref="X9:AB9"/>
    <mergeCell ref="AI8:BF8"/>
    <mergeCell ref="AI9:AQ9"/>
    <mergeCell ref="BB9:BF9"/>
    <mergeCell ref="AW13:BA13"/>
    <mergeCell ref="S10:W10"/>
    <mergeCell ref="X10:AB10"/>
    <mergeCell ref="S11:W11"/>
    <mergeCell ref="X11:AB11"/>
    <mergeCell ref="AI13:AQ13"/>
    <mergeCell ref="AR10:AV10"/>
    <mergeCell ref="AR11:AV11"/>
    <mergeCell ref="AR12:AV12"/>
    <mergeCell ref="AI11:AQ11"/>
    <mergeCell ref="AI12:AQ12"/>
    <mergeCell ref="AI10:AQ10"/>
    <mergeCell ref="S13:W13"/>
    <mergeCell ref="X13:AB13"/>
    <mergeCell ref="A1:AF1"/>
    <mergeCell ref="X18:AB18"/>
    <mergeCell ref="E16:AB16"/>
    <mergeCell ref="E17:M17"/>
    <mergeCell ref="N17:R17"/>
    <mergeCell ref="S17:W17"/>
    <mergeCell ref="X17:AB17"/>
    <mergeCell ref="A2:AF2"/>
    <mergeCell ref="E10:M10"/>
    <mergeCell ref="N10:R10"/>
    <mergeCell ref="B5:AE6"/>
    <mergeCell ref="E11:M11"/>
    <mergeCell ref="N11:R11"/>
    <mergeCell ref="E12:M12"/>
    <mergeCell ref="E8:AB8"/>
    <mergeCell ref="E9:M9"/>
    <mergeCell ref="E18:M18"/>
    <mergeCell ref="N18:R18"/>
    <mergeCell ref="S18:W18"/>
    <mergeCell ref="S12:W12"/>
    <mergeCell ref="X12:AB12"/>
    <mergeCell ref="N12:R12"/>
    <mergeCell ref="E13:M13"/>
    <mergeCell ref="N13:R13"/>
    <mergeCell ref="E14:M14"/>
    <mergeCell ref="N14:R14"/>
    <mergeCell ref="S14:W14"/>
    <mergeCell ref="X14:AB14"/>
    <mergeCell ref="B89:G89"/>
    <mergeCell ref="T89:Y89"/>
    <mergeCell ref="H89:M89"/>
    <mergeCell ref="H90:M90"/>
    <mergeCell ref="B88:G88"/>
    <mergeCell ref="H88:M88"/>
    <mergeCell ref="N88:S88"/>
    <mergeCell ref="T88:Y88"/>
    <mergeCell ref="B90:G90"/>
    <mergeCell ref="AR14:AV14"/>
    <mergeCell ref="AI14:AQ14"/>
    <mergeCell ref="AR13:AV13"/>
    <mergeCell ref="T90:Y90"/>
    <mergeCell ref="N89:S89"/>
    <mergeCell ref="Z88:AE88"/>
    <mergeCell ref="Z89:AE89"/>
    <mergeCell ref="Z90:AE90"/>
    <mergeCell ref="AI15:BF15"/>
    <mergeCell ref="B49:AE55"/>
    <mergeCell ref="B56:AE56"/>
    <mergeCell ref="B23:AE27"/>
    <mergeCell ref="B32:AE33"/>
    <mergeCell ref="BB13:BF13"/>
    <mergeCell ref="BB14:BF14"/>
    <mergeCell ref="AW14:BA14"/>
  </mergeCells>
  <dataValidations count="1">
    <dataValidation type="list" allowBlank="1" showInputMessage="1" showErrorMessage="1" sqref="B89">
      <formula1>"Unmodified Template, Modified Template, Original Template"</formula1>
    </dataValidation>
  </dataValidations>
  <printOptions horizontalCentered="1"/>
  <pageMargins left="0.25" right="0.25" top="0.5" bottom="0.75" header="0.3" footer="0.3"/>
  <pageSetup orientation="portrait" r:id="rId1"/>
  <ignoredErrors>
    <ignoredError sqref="E10:AB14"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'Report Data Export'!$A$7:$A$35</xm:f>
          </x14:formula1>
          <xm:sqref>AI10:AQ13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317"/>
  <sheetViews>
    <sheetView showGridLines="0" view="pageBreakPreview" topLeftCell="A10" zoomScaleNormal="100" zoomScaleSheetLayoutView="100" workbookViewId="0">
      <selection activeCell="J35" sqref="J35"/>
    </sheetView>
  </sheetViews>
  <sheetFormatPr defaultRowHeight="12.75" x14ac:dyDescent="0.2"/>
  <cols>
    <col min="1" max="1" width="32.5" style="3" customWidth="1"/>
    <col min="2" max="2" width="6.6640625" style="3" customWidth="1"/>
    <col min="3" max="3" width="10.83203125" style="3" customWidth="1"/>
    <col min="4" max="5" width="10" style="3" customWidth="1"/>
    <col min="6" max="6" width="1.6640625" style="3" customWidth="1"/>
    <col min="7" max="7" width="36.6640625" style="3" customWidth="1"/>
    <col min="8" max="16384" width="9.33203125" style="3"/>
  </cols>
  <sheetData>
    <row r="1" spans="1:15" s="4" customFormat="1" ht="30" customHeight="1" x14ac:dyDescent="0.2">
      <c r="A1" s="234" t="str">
        <f>"AR No. "&amp;'Report Data Export'!A3&amp;" - Analysis"</f>
        <v>AR No. # - Analysis</v>
      </c>
      <c r="B1" s="234"/>
      <c r="C1" s="234"/>
      <c r="D1" s="234"/>
      <c r="E1" s="234"/>
      <c r="F1" s="234"/>
      <c r="G1" s="234"/>
      <c r="H1" s="3"/>
      <c r="I1" s="3"/>
      <c r="J1" s="3"/>
      <c r="K1" s="3"/>
      <c r="L1" s="3"/>
      <c r="M1" s="3"/>
      <c r="N1" s="3"/>
      <c r="O1" s="3"/>
    </row>
    <row r="2" spans="1:15" ht="15" customHeight="1" x14ac:dyDescent="0.2">
      <c r="A2" s="214" t="str">
        <f>Narrative!A2</f>
        <v>Lighting Analysis Template Apr. 2014a, style 2013b</v>
      </c>
      <c r="B2" s="237"/>
      <c r="C2" s="237"/>
      <c r="D2" s="237"/>
      <c r="E2" s="237"/>
      <c r="F2" s="237"/>
      <c r="G2" s="237"/>
    </row>
    <row r="3" spans="1:15" ht="15" customHeight="1" x14ac:dyDescent="0.2">
      <c r="A3" s="6" t="s">
        <v>157</v>
      </c>
      <c r="B3" s="10"/>
      <c r="C3" s="10"/>
      <c r="D3" s="10"/>
      <c r="E3" s="6"/>
      <c r="G3" s="6" t="s">
        <v>156</v>
      </c>
    </row>
    <row r="4" spans="1:15" ht="15" customHeight="1" x14ac:dyDescent="0.2">
      <c r="A4" s="11" t="s">
        <v>164</v>
      </c>
      <c r="B4" s="12"/>
      <c r="C4" s="12"/>
      <c r="D4" s="12"/>
      <c r="E4" s="11"/>
      <c r="G4" s="49" t="s">
        <v>408</v>
      </c>
    </row>
    <row r="5" spans="1:15" ht="15" customHeight="1" x14ac:dyDescent="0.2">
      <c r="A5" s="8" t="s">
        <v>165</v>
      </c>
      <c r="B5" s="14" t="s">
        <v>166</v>
      </c>
      <c r="C5" s="140">
        <v>50000</v>
      </c>
      <c r="D5" s="13" t="s">
        <v>167</v>
      </c>
      <c r="E5" s="15" t="s">
        <v>158</v>
      </c>
    </row>
    <row r="6" spans="1:15" ht="15" customHeight="1" x14ac:dyDescent="0.25">
      <c r="A6" s="51"/>
      <c r="B6" s="14"/>
      <c r="C6" s="54"/>
      <c r="D6" s="13"/>
      <c r="E6" s="15"/>
      <c r="G6" s="49" t="s">
        <v>413</v>
      </c>
      <c r="H6" s="170" t="s">
        <v>468</v>
      </c>
    </row>
    <row r="7" spans="1:15" ht="15" customHeight="1" x14ac:dyDescent="0.2">
      <c r="A7" s="6" t="s">
        <v>168</v>
      </c>
      <c r="B7" s="6"/>
      <c r="C7" s="6"/>
      <c r="D7" s="6"/>
      <c r="E7" s="6"/>
    </row>
    <row r="8" spans="1:15" ht="15" customHeight="1" x14ac:dyDescent="0.2">
      <c r="A8" s="8" t="s">
        <v>170</v>
      </c>
      <c r="B8" s="14" t="s">
        <v>169</v>
      </c>
      <c r="C8" s="55">
        <f ca="1">Summary!$C$37</f>
        <v>10080</v>
      </c>
      <c r="D8" s="13" t="s">
        <v>160</v>
      </c>
      <c r="E8" s="15" t="s">
        <v>386</v>
      </c>
    </row>
    <row r="9" spans="1:15" ht="15" customHeight="1" x14ac:dyDescent="0.2">
      <c r="A9" s="8" t="s">
        <v>171</v>
      </c>
      <c r="B9" s="14" t="s">
        <v>172</v>
      </c>
      <c r="C9" s="91">
        <f ca="1">Summary!$D$37</f>
        <v>957.59999999999991</v>
      </c>
      <c r="D9" s="13" t="s">
        <v>173</v>
      </c>
      <c r="E9" s="15" t="s">
        <v>386</v>
      </c>
      <c r="G9" s="6" t="s">
        <v>194</v>
      </c>
    </row>
    <row r="10" spans="1:15" ht="15" customHeight="1" x14ac:dyDescent="0.2">
      <c r="A10" s="51" t="s">
        <v>174</v>
      </c>
      <c r="B10" s="14" t="s">
        <v>178</v>
      </c>
      <c r="C10" s="57">
        <f ca="1">Summary!$E$37</f>
        <v>30.239999999999995</v>
      </c>
      <c r="D10" s="13" t="s">
        <v>329</v>
      </c>
      <c r="E10" s="15" t="s">
        <v>386</v>
      </c>
      <c r="G10" s="235" t="s">
        <v>319</v>
      </c>
    </row>
    <row r="11" spans="1:15" ht="15" customHeight="1" x14ac:dyDescent="0.2">
      <c r="A11" s="51" t="s">
        <v>175</v>
      </c>
      <c r="B11" s="14" t="s">
        <v>179</v>
      </c>
      <c r="C11" s="91">
        <f ca="1">Summary!$F$37</f>
        <v>211.67999999999995</v>
      </c>
      <c r="D11" s="13" t="s">
        <v>173</v>
      </c>
      <c r="E11" s="15" t="s">
        <v>386</v>
      </c>
      <c r="G11" s="236"/>
    </row>
    <row r="12" spans="1:15" ht="15" customHeight="1" x14ac:dyDescent="0.2">
      <c r="A12" s="51" t="s">
        <v>176</v>
      </c>
      <c r="B12" s="14" t="s">
        <v>180</v>
      </c>
      <c r="C12" s="91">
        <f ca="1">Summary!$G$37</f>
        <v>33.704444444444448</v>
      </c>
      <c r="D12" s="13" t="s">
        <v>173</v>
      </c>
      <c r="E12" s="15" t="s">
        <v>415</v>
      </c>
      <c r="G12" s="232" t="s">
        <v>414</v>
      </c>
    </row>
    <row r="13" spans="1:15" ht="15" customHeight="1" x14ac:dyDescent="0.2">
      <c r="A13" s="51" t="s">
        <v>177</v>
      </c>
      <c r="B13" s="14" t="s">
        <v>181</v>
      </c>
      <c r="C13" s="91">
        <f ca="1">Summary!$H$37</f>
        <v>132.33333333333334</v>
      </c>
      <c r="D13" s="13" t="s">
        <v>173</v>
      </c>
      <c r="E13" s="15" t="s">
        <v>386</v>
      </c>
      <c r="G13" s="232"/>
    </row>
    <row r="14" spans="1:15" ht="15" customHeight="1" x14ac:dyDescent="0.2">
      <c r="B14" s="5"/>
      <c r="C14" s="5"/>
      <c r="D14" s="5"/>
      <c r="G14" s="233" t="s">
        <v>416</v>
      </c>
    </row>
    <row r="15" spans="1:15" ht="15" customHeight="1" x14ac:dyDescent="0.2">
      <c r="A15" s="6" t="s">
        <v>182</v>
      </c>
      <c r="B15" s="10"/>
      <c r="C15" s="10"/>
      <c r="D15" s="10"/>
      <c r="E15" s="6"/>
      <c r="G15" s="233"/>
    </row>
    <row r="16" spans="1:15" ht="15" customHeight="1" x14ac:dyDescent="0.2">
      <c r="A16" s="8" t="s">
        <v>183</v>
      </c>
      <c r="B16" s="14" t="s">
        <v>454</v>
      </c>
      <c r="C16" s="158">
        <v>30</v>
      </c>
      <c r="D16" s="13" t="s">
        <v>189</v>
      </c>
      <c r="E16" s="15" t="s">
        <v>418</v>
      </c>
      <c r="G16" s="233"/>
    </row>
    <row r="17" spans="1:8" ht="15" customHeight="1" x14ac:dyDescent="0.2">
      <c r="A17" s="51" t="s">
        <v>184</v>
      </c>
      <c r="B17" s="14" t="s">
        <v>453</v>
      </c>
      <c r="C17" s="158">
        <v>85</v>
      </c>
      <c r="D17" s="13" t="s">
        <v>189</v>
      </c>
      <c r="E17" s="15" t="s">
        <v>418</v>
      </c>
      <c r="G17" s="233"/>
    </row>
    <row r="18" spans="1:8" ht="15" customHeight="1" x14ac:dyDescent="0.2">
      <c r="A18" s="51" t="s">
        <v>185</v>
      </c>
      <c r="B18" s="14" t="s">
        <v>445</v>
      </c>
      <c r="C18" s="159">
        <v>1</v>
      </c>
      <c r="D18" s="13" t="s">
        <v>190</v>
      </c>
      <c r="E18" s="15" t="s">
        <v>418</v>
      </c>
      <c r="G18" s="233" t="s">
        <v>417</v>
      </c>
    </row>
    <row r="19" spans="1:8" ht="15" customHeight="1" x14ac:dyDescent="0.2">
      <c r="A19" s="51" t="s">
        <v>186</v>
      </c>
      <c r="B19" s="14" t="s">
        <v>446</v>
      </c>
      <c r="C19" s="159">
        <v>1</v>
      </c>
      <c r="D19" s="13" t="s">
        <v>190</v>
      </c>
      <c r="E19" s="15" t="s">
        <v>418</v>
      </c>
      <c r="G19" s="233"/>
    </row>
    <row r="20" spans="1:8" ht="15" customHeight="1" x14ac:dyDescent="0.2">
      <c r="A20" s="51" t="s">
        <v>187</v>
      </c>
      <c r="B20" s="14" t="s">
        <v>447</v>
      </c>
      <c r="C20" s="60">
        <v>0.5</v>
      </c>
      <c r="D20" s="13" t="s">
        <v>190</v>
      </c>
      <c r="E20" s="15" t="s">
        <v>418</v>
      </c>
      <c r="G20" s="233"/>
    </row>
    <row r="21" spans="1:8" ht="15" customHeight="1" x14ac:dyDescent="0.2">
      <c r="A21" s="8" t="s">
        <v>188</v>
      </c>
      <c r="B21" s="14" t="s">
        <v>448</v>
      </c>
      <c r="C21" s="60">
        <v>0.16666666666666666</v>
      </c>
      <c r="D21" s="13" t="s">
        <v>190</v>
      </c>
      <c r="E21" s="15" t="s">
        <v>418</v>
      </c>
    </row>
    <row r="22" spans="1:8" ht="15" customHeight="1" x14ac:dyDescent="0.2">
      <c r="A22" s="1"/>
      <c r="B22" s="1"/>
      <c r="C22" s="1"/>
      <c r="D22" s="1"/>
      <c r="E22" s="1"/>
    </row>
    <row r="23" spans="1:8" ht="15" customHeight="1" x14ac:dyDescent="0.2">
      <c r="A23" s="6" t="s">
        <v>191</v>
      </c>
      <c r="B23" s="6"/>
      <c r="C23" s="6"/>
      <c r="D23" s="6"/>
      <c r="E23" s="6"/>
    </row>
    <row r="24" spans="1:8" ht="15" customHeight="1" x14ac:dyDescent="0.2">
      <c r="A24" s="8" t="s">
        <v>9</v>
      </c>
      <c r="B24" s="14" t="s">
        <v>409</v>
      </c>
      <c r="C24" s="98">
        <f ca="1">Summary!$I$37</f>
        <v>1335.3177777777778</v>
      </c>
      <c r="D24" s="13" t="s">
        <v>328</v>
      </c>
      <c r="E24" s="15" t="s">
        <v>159</v>
      </c>
    </row>
    <row r="25" spans="1:8" ht="15" customHeight="1" x14ac:dyDescent="0.2">
      <c r="A25" s="8" t="s">
        <v>192</v>
      </c>
      <c r="B25" s="14" t="s">
        <v>410</v>
      </c>
      <c r="C25" s="98">
        <f ca="1">Summary!$Q$37</f>
        <v>7301</v>
      </c>
      <c r="D25" s="13"/>
      <c r="E25" s="15" t="s">
        <v>386</v>
      </c>
    </row>
    <row r="26" spans="1:8" ht="15" customHeight="1" x14ac:dyDescent="0.2">
      <c r="A26" s="51" t="s">
        <v>39</v>
      </c>
      <c r="B26" s="14" t="s">
        <v>411</v>
      </c>
      <c r="C26" s="147">
        <f ca="1">Summary!$R$37</f>
        <v>5.467612370255603</v>
      </c>
      <c r="D26" s="13" t="s">
        <v>302</v>
      </c>
      <c r="E26" s="15" t="s">
        <v>412</v>
      </c>
    </row>
    <row r="27" spans="1:8" ht="15" customHeight="1" x14ac:dyDescent="0.2">
      <c r="B27" s="5"/>
      <c r="C27" s="5"/>
      <c r="D27" s="5"/>
    </row>
    <row r="28" spans="1:8" ht="15" customHeight="1" x14ac:dyDescent="0.2">
      <c r="A28" s="6" t="s">
        <v>193</v>
      </c>
      <c r="B28" s="6"/>
      <c r="C28" s="6"/>
      <c r="D28" s="6"/>
      <c r="E28" s="6"/>
      <c r="H28" s="265" t="s">
        <v>488</v>
      </c>
    </row>
    <row r="29" spans="1:8" ht="15" customHeight="1" x14ac:dyDescent="0.2">
      <c r="A29"/>
      <c r="B29"/>
      <c r="C29"/>
      <c r="D29"/>
      <c r="E29"/>
    </row>
    <row r="30" spans="1:8" ht="15" customHeight="1" x14ac:dyDescent="0.2">
      <c r="A30"/>
      <c r="B30"/>
      <c r="C30"/>
      <c r="D30"/>
      <c r="E30"/>
      <c r="F30" s="71"/>
    </row>
    <row r="31" spans="1:8" ht="15" customHeight="1" x14ac:dyDescent="0.2">
      <c r="A31" s="161"/>
      <c r="B31" s="161"/>
      <c r="C31" s="161"/>
      <c r="D31" s="161"/>
      <c r="E31" s="161"/>
      <c r="F31" s="161"/>
    </row>
    <row r="32" spans="1:8" ht="15" customHeight="1" x14ac:dyDescent="0.2">
      <c r="A32"/>
      <c r="B32"/>
      <c r="C32"/>
      <c r="D32"/>
      <c r="E32"/>
      <c r="F32" s="161"/>
    </row>
    <row r="33" spans="1:6" ht="15" customHeight="1" x14ac:dyDescent="0.2">
      <c r="B33" s="161"/>
      <c r="C33" s="161"/>
      <c r="D33" s="161"/>
      <c r="E33" s="161"/>
      <c r="F33" s="161"/>
    </row>
    <row r="34" spans="1:6" ht="15" customHeight="1" x14ac:dyDescent="0.2">
      <c r="A34" s="161"/>
      <c r="B34" s="161"/>
      <c r="C34" s="161"/>
      <c r="D34" s="161"/>
      <c r="E34" s="161"/>
      <c r="F34" s="161"/>
    </row>
    <row r="35" spans="1:6" ht="15" customHeight="1" x14ac:dyDescent="0.2"/>
    <row r="36" spans="1:6" ht="15" customHeight="1" x14ac:dyDescent="0.2"/>
    <row r="37" spans="1:6" ht="15" customHeight="1" x14ac:dyDescent="0.2"/>
    <row r="38" spans="1:6" ht="15" customHeight="1" x14ac:dyDescent="0.2"/>
    <row r="39" spans="1:6" ht="15" customHeight="1" x14ac:dyDescent="0.2"/>
    <row r="40" spans="1:6" ht="15" customHeight="1" x14ac:dyDescent="0.2"/>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spans="2:2" ht="15" customHeight="1" x14ac:dyDescent="0.2">
      <c r="B49" s="3" t="str">
        <f>"Install (type of lights, where, etc.)."&amp;" (Reasons why). (More on how it will be implemented). "&amp;"This will (increase lighting efficiency, reduce operating hours?), reducing annual energy cost by "&amp;TEXT(X10,"$###,###,###")&amp;" and annual demand cost by "&amp;TEXT(X11,"$###,###,###")&amp;". Additionally, improved lighting is estimated to reduce total maintenance costs by "&amp;TEXT(X12+X13,"$###,###,###")&amp;" per year. Annual cost savings are estimated at "&amp;TEXT(X14,"$###,###,###")&amp;" after an implementation cost of "&amp;TEXT(S18,"$###,###,###")&amp;", resulting in a payback period of "&amp;TEXT(X18,"0.0")&amp;" years."</f>
        <v>Install (type of lights, where, etc.). (Reasons why). (More on how it will be implemented). This will (increase lighting efficiency, reduce operating hours?), reducing annual energy cost by $ and annual demand cost by $. Additionally, improved lighting is estimated to reduce total maintenance costs by $ per year. Annual cost savings are estimated at $ after an implementation cost of $, resulting in a payback period of 0.0 years.</v>
      </c>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row r="58" spans="2:2" ht="15" customHeight="1" x14ac:dyDescent="0.2"/>
    <row r="59" spans="2:2" ht="15" customHeight="1" x14ac:dyDescent="0.2"/>
    <row r="60" spans="2:2" ht="15" customHeight="1" x14ac:dyDescent="0.2"/>
    <row r="61" spans="2:2" ht="15" customHeight="1" x14ac:dyDescent="0.2"/>
    <row r="62" spans="2:2" ht="15" customHeight="1" x14ac:dyDescent="0.2"/>
    <row r="63" spans="2:2" ht="15" customHeight="1" x14ac:dyDescent="0.2"/>
    <row r="64" spans="2: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sheetData>
  <sheetProtection selectLockedCells="1"/>
  <mergeCells count="6">
    <mergeCell ref="G12:G13"/>
    <mergeCell ref="G14:G17"/>
    <mergeCell ref="G18:G20"/>
    <mergeCell ref="A1:G1"/>
    <mergeCell ref="G10:G11"/>
    <mergeCell ref="A2:G2"/>
  </mergeCell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3073" r:id="rId4">
          <objectPr defaultSize="0" autoPict="0" r:id="rId5">
            <anchor moveWithCells="1">
              <from>
                <xdr:col>6</xdr:col>
                <xdr:colOff>342900</xdr:colOff>
                <xdr:row>4</xdr:row>
                <xdr:rowOff>28575</xdr:rowOff>
              </from>
              <to>
                <xdr:col>6</xdr:col>
                <xdr:colOff>1609725</xdr:colOff>
                <xdr:row>5</xdr:row>
                <xdr:rowOff>28575</xdr:rowOff>
              </to>
            </anchor>
          </objectPr>
        </oleObject>
      </mc:Choice>
      <mc:Fallback>
        <oleObject progId="Equation.DSMT4" shapeId="3073" r:id="rId4"/>
      </mc:Fallback>
    </mc:AlternateContent>
    <mc:AlternateContent xmlns:mc="http://schemas.openxmlformats.org/markup-compatibility/2006">
      <mc:Choice Requires="x14">
        <oleObject progId="Equation.DSMT4" shapeId="3074" r:id="rId6">
          <objectPr defaultSize="0" autoPict="0" r:id="rId7">
            <anchor moveWithCells="1">
              <from>
                <xdr:col>6</xdr:col>
                <xdr:colOff>866775</xdr:colOff>
                <xdr:row>6</xdr:row>
                <xdr:rowOff>0</xdr:rowOff>
              </from>
              <to>
                <xdr:col>6</xdr:col>
                <xdr:colOff>1085850</xdr:colOff>
                <xdr:row>7</xdr:row>
                <xdr:rowOff>171450</xdr:rowOff>
              </to>
            </anchor>
          </objectPr>
        </oleObject>
      </mc:Choice>
      <mc:Fallback>
        <oleObject progId="Equation.DSMT4" shapeId="3074"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316"/>
  <sheetViews>
    <sheetView showGridLines="0" tabSelected="1" view="pageBreakPreview" zoomScaleNormal="100" zoomScaleSheetLayoutView="100" workbookViewId="0">
      <selection activeCell="W17" sqref="W17"/>
    </sheetView>
  </sheetViews>
  <sheetFormatPr defaultRowHeight="12.75" x14ac:dyDescent="0.2"/>
  <cols>
    <col min="1" max="1" width="5" style="3" customWidth="1"/>
    <col min="2" max="2" width="27.5" style="3" customWidth="1"/>
    <col min="3" max="9" width="10.83203125" style="3" customWidth="1"/>
    <col min="10" max="10" width="5" style="3" customWidth="1"/>
    <col min="11" max="11" width="27.5" style="3" customWidth="1"/>
    <col min="12" max="13" width="10.83203125" style="3" customWidth="1"/>
    <col min="14" max="14" width="8.33203125" style="3" customWidth="1"/>
    <col min="15" max="15" width="10.83203125" style="3" customWidth="1"/>
    <col min="16" max="16" width="13.33203125" style="3" customWidth="1"/>
    <col min="17" max="18" width="10.83203125" style="3" customWidth="1"/>
    <col min="19" max="16384" width="9.33203125" style="3"/>
  </cols>
  <sheetData>
    <row r="1" spans="1:49" s="4" customFormat="1" ht="30" customHeight="1" x14ac:dyDescent="0.2">
      <c r="A1" s="239" t="str">
        <f>"AR No. "&amp;'Report Data Export'!A3&amp;" - Summary"</f>
        <v>AR No. # - Summary</v>
      </c>
      <c r="B1" s="240"/>
      <c r="C1" s="240"/>
      <c r="D1" s="240"/>
      <c r="E1" s="240"/>
      <c r="F1" s="240"/>
      <c r="G1" s="240"/>
      <c r="H1" s="240"/>
      <c r="I1" s="240"/>
      <c r="J1" s="239" t="str">
        <f>A1</f>
        <v>AR No. # - Summary</v>
      </c>
      <c r="K1" s="240"/>
      <c r="L1" s="240"/>
      <c r="M1" s="240"/>
      <c r="N1" s="240"/>
      <c r="O1" s="240"/>
      <c r="P1" s="240"/>
      <c r="Q1" s="240"/>
      <c r="R1" s="240"/>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5" customHeight="1" x14ac:dyDescent="0.2">
      <c r="A2" s="238" t="str">
        <f>Narrative!A2</f>
        <v>Lighting Analysis Template Apr. 2014a, style 2013b</v>
      </c>
      <c r="B2" s="238"/>
      <c r="C2" s="238"/>
      <c r="D2" s="238"/>
      <c r="E2" s="238"/>
      <c r="F2" s="238"/>
      <c r="G2" s="238"/>
      <c r="H2" s="238"/>
      <c r="I2" s="238"/>
      <c r="J2" s="238" t="str">
        <f>Narrative!A2</f>
        <v>Lighting Analysis Template Apr. 2014a, style 2013b</v>
      </c>
      <c r="K2" s="238"/>
      <c r="L2" s="238"/>
      <c r="M2" s="238"/>
      <c r="N2" s="238"/>
      <c r="O2" s="238"/>
      <c r="P2" s="238"/>
      <c r="Q2" s="238"/>
      <c r="R2" s="238"/>
      <c r="S2" s="267" t="s">
        <v>517</v>
      </c>
      <c r="T2" s="267"/>
      <c r="U2" s="267"/>
      <c r="V2" s="267"/>
      <c r="W2" s="267"/>
      <c r="X2" s="267"/>
      <c r="Y2" s="267"/>
      <c r="Z2" s="267"/>
      <c r="AA2" s="267"/>
      <c r="AB2" s="121"/>
      <c r="AC2" s="121"/>
      <c r="AD2" s="121"/>
      <c r="AE2" s="121"/>
      <c r="AF2" s="121"/>
    </row>
    <row r="3" spans="1:49" ht="15" customHeight="1" x14ac:dyDescent="0.2">
      <c r="A3" s="183" t="s">
        <v>168</v>
      </c>
      <c r="B3" s="183"/>
      <c r="C3" s="183"/>
      <c r="D3" s="183"/>
      <c r="E3" s="183"/>
      <c r="F3" s="183"/>
      <c r="G3" s="183"/>
      <c r="H3" s="183"/>
      <c r="I3" s="183"/>
      <c r="J3" s="183" t="s">
        <v>182</v>
      </c>
      <c r="K3" s="183"/>
      <c r="L3" s="183"/>
      <c r="M3" s="183"/>
      <c r="N3" s="183"/>
      <c r="O3" s="183"/>
      <c r="P3" s="183"/>
      <c r="Q3" s="183"/>
      <c r="R3" s="183"/>
      <c r="S3" s="267"/>
      <c r="T3" s="267"/>
      <c r="U3" s="267"/>
      <c r="V3" s="267"/>
      <c r="W3" s="267"/>
      <c r="X3" s="267"/>
      <c r="Y3" s="267"/>
      <c r="Z3" s="267"/>
      <c r="AA3" s="267"/>
    </row>
    <row r="4" spans="1:49" ht="15" customHeight="1" x14ac:dyDescent="0.2">
      <c r="A4" s="242" t="s">
        <v>163</v>
      </c>
      <c r="B4" s="244" t="s">
        <v>277</v>
      </c>
      <c r="C4" s="246" t="s">
        <v>288</v>
      </c>
      <c r="D4" s="246"/>
      <c r="E4" s="244" t="s">
        <v>289</v>
      </c>
      <c r="F4" s="244"/>
      <c r="G4" s="241" t="s">
        <v>290</v>
      </c>
      <c r="H4" s="241" t="s">
        <v>292</v>
      </c>
      <c r="I4" s="241" t="s">
        <v>293</v>
      </c>
      <c r="J4" s="242" t="s">
        <v>163</v>
      </c>
      <c r="K4" s="244" t="s">
        <v>277</v>
      </c>
      <c r="L4" s="242" t="s">
        <v>0</v>
      </c>
      <c r="M4" s="242"/>
      <c r="N4" s="242"/>
      <c r="O4" s="244" t="s">
        <v>282</v>
      </c>
      <c r="P4" s="244" t="s">
        <v>294</v>
      </c>
      <c r="Q4" s="244" t="s">
        <v>295</v>
      </c>
      <c r="R4" s="244" t="s">
        <v>296</v>
      </c>
      <c r="S4" s="267"/>
      <c r="T4" s="267"/>
      <c r="U4" s="267"/>
      <c r="V4" s="267"/>
      <c r="W4" s="267"/>
      <c r="X4" s="267"/>
      <c r="Y4" s="267"/>
      <c r="Z4" s="267"/>
      <c r="AA4" s="267"/>
    </row>
    <row r="5" spans="1:49" ht="15" customHeight="1" x14ac:dyDescent="0.2">
      <c r="A5" s="243"/>
      <c r="B5" s="245"/>
      <c r="C5" s="246"/>
      <c r="D5" s="246"/>
      <c r="E5" s="241"/>
      <c r="F5" s="241"/>
      <c r="G5" s="241"/>
      <c r="H5" s="241"/>
      <c r="I5" s="241"/>
      <c r="J5" s="243"/>
      <c r="K5" s="245"/>
      <c r="L5" s="243"/>
      <c r="M5" s="243"/>
      <c r="N5" s="243"/>
      <c r="O5" s="252"/>
      <c r="P5" s="252"/>
      <c r="Q5" s="252"/>
      <c r="R5" s="252"/>
    </row>
    <row r="6" spans="1:49" ht="15" customHeight="1" x14ac:dyDescent="0.2">
      <c r="A6" s="243"/>
      <c r="B6" s="245"/>
      <c r="C6" s="2" t="s">
        <v>321</v>
      </c>
      <c r="D6" s="2" t="s">
        <v>291</v>
      </c>
      <c r="E6" s="2" t="s">
        <v>326</v>
      </c>
      <c r="F6" s="2" t="s">
        <v>291</v>
      </c>
      <c r="G6" s="2" t="s">
        <v>291</v>
      </c>
      <c r="H6" s="2" t="s">
        <v>291</v>
      </c>
      <c r="I6" s="2" t="s">
        <v>291</v>
      </c>
      <c r="J6" s="255"/>
      <c r="K6" s="256"/>
      <c r="L6" s="255"/>
      <c r="M6" s="255"/>
      <c r="N6" s="255"/>
      <c r="O6" s="2" t="s">
        <v>291</v>
      </c>
      <c r="P6" s="2" t="s">
        <v>390</v>
      </c>
      <c r="Q6" s="2" t="s">
        <v>390</v>
      </c>
      <c r="R6" s="2" t="s">
        <v>297</v>
      </c>
    </row>
    <row r="7" spans="1:49" ht="15" customHeight="1" x14ac:dyDescent="0.2">
      <c r="A7" s="126">
        <v>1</v>
      </c>
      <c r="B7" s="148" t="str">
        <f ca="1">IFERROR(IF(INDIRECT("'("&amp;A7&amp;")'!C6")="","",INDIRECT("'("&amp;A7&amp;")'!C5")),"")</f>
        <v>Warehouse</v>
      </c>
      <c r="C7" s="141">
        <f ca="1">IFERROR(IF(B7="","",INDIRECT("'("&amp;A7&amp;")'!E41")),"")</f>
        <v>10080</v>
      </c>
      <c r="D7" s="167">
        <f ca="1">IFERROR(IF(B7="","",INDIRECT("'("&amp;A7&amp;")'!E56")),"")</f>
        <v>957.59999999999991</v>
      </c>
      <c r="E7" s="127">
        <f ca="1">IFERROR(IF(B7="","",IF(INDIRECT("'("&amp;A7&amp;")'!E40")="","-",INDIRECT("'("&amp;A7&amp;")'!E40")*12)),"")</f>
        <v>30.239999999999995</v>
      </c>
      <c r="F7" s="167">
        <f ca="1">IFERROR(IF(B7="","",IF(INDIRECT("'("&amp;A7&amp;")'!E55")="","-",INDIRECT("'("&amp;A7&amp;")'!E55"))),"")</f>
        <v>211.67999999999995</v>
      </c>
      <c r="G7" s="167">
        <f ca="1">IFERROR(IF(B7="","",INDIRECT("'("&amp;A7&amp;")'!E57")),"")</f>
        <v>33.704444444444448</v>
      </c>
      <c r="H7" s="167">
        <f ca="1">IFERROR(IF(B7="","",INDIRECT("'("&amp;A7&amp;")'!E58")),"")</f>
        <v>132.33333333333334</v>
      </c>
      <c r="I7" s="167">
        <f ca="1">IFERROR(IF(B7="","",INDIRECT("'("&amp;A7&amp;")'!E59")),"")</f>
        <v>1335.3177777777778</v>
      </c>
      <c r="J7" s="126">
        <v>1</v>
      </c>
      <c r="K7" s="166" t="str">
        <f t="shared" ref="K7:K36" ca="1" si="0">IFERROR(IF(INDIRECT("'("&amp;A7&amp;")'!C5")="","",INDIRECT("'("&amp;A7&amp;")'!C5")),"")</f>
        <v>Warehouse</v>
      </c>
      <c r="L7" s="247" t="str">
        <f t="shared" ref="L7:L36" ca="1" si="1">IFERROR(IF(K7="","",INDIRECT("'("&amp;A7&amp;")'!C4")),"")</f>
        <v>Replace lights</v>
      </c>
      <c r="M7" s="247"/>
      <c r="N7" s="247"/>
      <c r="O7" s="167">
        <f ca="1">IFERROR(IF(K7="","",INDIRECT("'("&amp;A7&amp;")'!D65")),"")</f>
        <v>5201</v>
      </c>
      <c r="P7" s="167">
        <f ca="1">IFERROR(IF(K7="","",INDIRECT("'("&amp;A7&amp;")'!D66")),"")</f>
        <v>2100</v>
      </c>
      <c r="Q7" s="167">
        <f ca="1">IFERROR(IF(K7="","",INDIRECT("'("&amp;A7&amp;")'!D67")),"")</f>
        <v>7301</v>
      </c>
      <c r="R7" s="127">
        <f ca="1">IFERROR(IF(K7="","",INDIRECT("'("&amp;A7&amp;")'!D69")),"")</f>
        <v>5.467612370255603</v>
      </c>
      <c r="S7" s="86" t="str">
        <f ca="1">IF(B7="","&lt;-- Hide This Row","")</f>
        <v/>
      </c>
    </row>
    <row r="8" spans="1:49" ht="15" customHeight="1" x14ac:dyDescent="0.2">
      <c r="A8" s="122">
        <v>2</v>
      </c>
      <c r="B8" s="149" t="str">
        <f t="shared" ref="B8:B36" ca="1" si="2">IFERROR(IF(INDIRECT("'("&amp;A8&amp;")'!C6")="","",INDIRECT("'("&amp;A8&amp;")'!C5")),"")</f>
        <v/>
      </c>
      <c r="C8" s="142" t="str">
        <f t="shared" ref="C8:C36" ca="1" si="3">IFERROR(IF(B8="","",INDIRECT("'("&amp;A8&amp;")'!E41")),"")</f>
        <v/>
      </c>
      <c r="D8" s="168" t="str">
        <f t="shared" ref="D8:D36" ca="1" si="4">IFERROR(IF(B8="","",INDIRECT("'("&amp;A8&amp;")'!E56")),"")</f>
        <v/>
      </c>
      <c r="E8" s="123" t="str">
        <f t="shared" ref="E8:E36" ca="1" si="5">IFERROR(IF(B8="","",IF(INDIRECT("'("&amp;A8&amp;")'!E40")="","-",INDIRECT("'("&amp;A8&amp;")'!E40")*12)),"")</f>
        <v/>
      </c>
      <c r="F8" s="168" t="str">
        <f t="shared" ref="F8:F36" ca="1" si="6">IFERROR(IF(B8="","",IF(INDIRECT("'("&amp;A8&amp;")'!E55")="","-",INDIRECT("'("&amp;A8&amp;")'!E55"))),"")</f>
        <v/>
      </c>
      <c r="G8" s="168" t="str">
        <f t="shared" ref="G8:G36" ca="1" si="7">IFERROR(IF(B8="","",INDIRECT("'("&amp;A8&amp;")'!E57")),"")</f>
        <v/>
      </c>
      <c r="H8" s="168" t="str">
        <f t="shared" ref="H8:H36" ca="1" si="8">IFERROR(IF(B8="","",INDIRECT("'("&amp;A8&amp;")'!E58")),"")</f>
        <v/>
      </c>
      <c r="I8" s="168" t="str">
        <f t="shared" ref="I8:I35" ca="1" si="9">IFERROR(IF(B8="","",INDIRECT("'("&amp;A8&amp;")'!E59")),"")</f>
        <v/>
      </c>
      <c r="J8" s="122">
        <v>2</v>
      </c>
      <c r="K8" s="162" t="str">
        <f t="shared" ca="1" si="0"/>
        <v/>
      </c>
      <c r="L8" s="248" t="str">
        <f t="shared" ca="1" si="1"/>
        <v/>
      </c>
      <c r="M8" s="248"/>
      <c r="N8" s="248"/>
      <c r="O8" s="168" t="str">
        <f t="shared" ref="O8:O36" ca="1" si="10">IFERROR(IF(K8="","",INDIRECT("'("&amp;A8&amp;")'!D65")),"")</f>
        <v/>
      </c>
      <c r="P8" s="168" t="str">
        <f t="shared" ref="P8:P36" ca="1" si="11">IFERROR(IF(K8="","",INDIRECT("'("&amp;A8&amp;")'!D66")),"")</f>
        <v/>
      </c>
      <c r="Q8" s="168" t="str">
        <f t="shared" ref="Q8:Q36" ca="1" si="12">IFERROR(IF(K8="","",INDIRECT("'("&amp;A8&amp;")'!D67")),"")</f>
        <v/>
      </c>
      <c r="R8" s="123" t="str">
        <f t="shared" ref="R8:R36" ca="1" si="13">IFERROR(IF(K8="","",INDIRECT("'("&amp;A8&amp;")'!D69")),"")</f>
        <v/>
      </c>
      <c r="S8" s="86" t="str">
        <f t="shared" ref="S8:S36" ca="1" si="14">IF(B8="","&lt;-- Hide This Row","")</f>
        <v>&lt;-- Hide This Row</v>
      </c>
    </row>
    <row r="9" spans="1:49" ht="15" customHeight="1" x14ac:dyDescent="0.2">
      <c r="A9" s="128">
        <v>3</v>
      </c>
      <c r="B9" s="150" t="str">
        <f t="shared" ca="1" si="2"/>
        <v/>
      </c>
      <c r="C9" s="143" t="str">
        <f t="shared" ca="1" si="3"/>
        <v/>
      </c>
      <c r="D9" s="169" t="str">
        <f t="shared" ca="1" si="4"/>
        <v/>
      </c>
      <c r="E9" s="129" t="str">
        <f t="shared" ca="1" si="5"/>
        <v/>
      </c>
      <c r="F9" s="169" t="str">
        <f t="shared" ca="1" si="6"/>
        <v/>
      </c>
      <c r="G9" s="169" t="str">
        <f t="shared" ca="1" si="7"/>
        <v/>
      </c>
      <c r="H9" s="169" t="str">
        <f t="shared" ca="1" si="8"/>
        <v/>
      </c>
      <c r="I9" s="169" t="str">
        <f t="shared" ca="1" si="9"/>
        <v/>
      </c>
      <c r="J9" s="128">
        <v>3</v>
      </c>
      <c r="K9" s="163" t="str">
        <f t="shared" ca="1" si="0"/>
        <v/>
      </c>
      <c r="L9" s="249" t="str">
        <f t="shared" ca="1" si="1"/>
        <v/>
      </c>
      <c r="M9" s="249"/>
      <c r="N9" s="249"/>
      <c r="O9" s="169" t="str">
        <f t="shared" ca="1" si="10"/>
        <v/>
      </c>
      <c r="P9" s="169" t="str">
        <f t="shared" ca="1" si="11"/>
        <v/>
      </c>
      <c r="Q9" s="169" t="str">
        <f t="shared" ca="1" si="12"/>
        <v/>
      </c>
      <c r="R9" s="129" t="str">
        <f t="shared" ca="1" si="13"/>
        <v/>
      </c>
      <c r="S9" s="86" t="str">
        <f t="shared" ca="1" si="14"/>
        <v>&lt;-- Hide This Row</v>
      </c>
    </row>
    <row r="10" spans="1:49" ht="15" customHeight="1" x14ac:dyDescent="0.2">
      <c r="A10" s="122">
        <v>4</v>
      </c>
      <c r="B10" s="149" t="str">
        <f t="shared" ca="1" si="2"/>
        <v/>
      </c>
      <c r="C10" s="142" t="str">
        <f t="shared" ca="1" si="3"/>
        <v/>
      </c>
      <c r="D10" s="168" t="str">
        <f t="shared" ca="1" si="4"/>
        <v/>
      </c>
      <c r="E10" s="123" t="str">
        <f t="shared" ca="1" si="5"/>
        <v/>
      </c>
      <c r="F10" s="168" t="str">
        <f t="shared" ca="1" si="6"/>
        <v/>
      </c>
      <c r="G10" s="168" t="str">
        <f t="shared" ca="1" si="7"/>
        <v/>
      </c>
      <c r="H10" s="168" t="str">
        <f t="shared" ca="1" si="8"/>
        <v/>
      </c>
      <c r="I10" s="168" t="str">
        <f t="shared" ca="1" si="9"/>
        <v/>
      </c>
      <c r="J10" s="122">
        <v>4</v>
      </c>
      <c r="K10" s="162" t="str">
        <f t="shared" ca="1" si="0"/>
        <v/>
      </c>
      <c r="L10" s="248" t="str">
        <f t="shared" ca="1" si="1"/>
        <v/>
      </c>
      <c r="M10" s="248"/>
      <c r="N10" s="248"/>
      <c r="O10" s="168" t="str">
        <f t="shared" ca="1" si="10"/>
        <v/>
      </c>
      <c r="P10" s="168" t="str">
        <f t="shared" ca="1" si="11"/>
        <v/>
      </c>
      <c r="Q10" s="168" t="str">
        <f t="shared" ca="1" si="12"/>
        <v/>
      </c>
      <c r="R10" s="123" t="str">
        <f t="shared" ca="1" si="13"/>
        <v/>
      </c>
      <c r="S10" s="86" t="str">
        <f t="shared" ca="1" si="14"/>
        <v>&lt;-- Hide This Row</v>
      </c>
    </row>
    <row r="11" spans="1:49" ht="15" customHeight="1" x14ac:dyDescent="0.2">
      <c r="A11" s="128">
        <v>5</v>
      </c>
      <c r="B11" s="150" t="str">
        <f t="shared" ca="1" si="2"/>
        <v/>
      </c>
      <c r="C11" s="143" t="str">
        <f t="shared" ca="1" si="3"/>
        <v/>
      </c>
      <c r="D11" s="169" t="str">
        <f t="shared" ca="1" si="4"/>
        <v/>
      </c>
      <c r="E11" s="129" t="str">
        <f t="shared" ca="1" si="5"/>
        <v/>
      </c>
      <c r="F11" s="169" t="str">
        <f t="shared" ca="1" si="6"/>
        <v/>
      </c>
      <c r="G11" s="169" t="str">
        <f t="shared" ca="1" si="7"/>
        <v/>
      </c>
      <c r="H11" s="169" t="str">
        <f t="shared" ca="1" si="8"/>
        <v/>
      </c>
      <c r="I11" s="169" t="str">
        <f t="shared" ca="1" si="9"/>
        <v/>
      </c>
      <c r="J11" s="128">
        <v>5</v>
      </c>
      <c r="K11" s="163" t="str">
        <f t="shared" ca="1" si="0"/>
        <v/>
      </c>
      <c r="L11" s="249" t="str">
        <f t="shared" ca="1" si="1"/>
        <v/>
      </c>
      <c r="M11" s="249"/>
      <c r="N11" s="249"/>
      <c r="O11" s="169" t="str">
        <f t="shared" ca="1" si="10"/>
        <v/>
      </c>
      <c r="P11" s="169" t="str">
        <f t="shared" ca="1" si="11"/>
        <v/>
      </c>
      <c r="Q11" s="169" t="str">
        <f t="shared" ca="1" si="12"/>
        <v/>
      </c>
      <c r="R11" s="129" t="str">
        <f t="shared" ca="1" si="13"/>
        <v/>
      </c>
      <c r="S11" s="86" t="str">
        <f t="shared" ca="1" si="14"/>
        <v>&lt;-- Hide This Row</v>
      </c>
    </row>
    <row r="12" spans="1:49" ht="15" customHeight="1" x14ac:dyDescent="0.2">
      <c r="A12" s="122">
        <v>6</v>
      </c>
      <c r="B12" s="149" t="str">
        <f t="shared" ca="1" si="2"/>
        <v/>
      </c>
      <c r="C12" s="142" t="str">
        <f t="shared" ca="1" si="3"/>
        <v/>
      </c>
      <c r="D12" s="168" t="str">
        <f t="shared" ca="1" si="4"/>
        <v/>
      </c>
      <c r="E12" s="123" t="str">
        <f t="shared" ca="1" si="5"/>
        <v/>
      </c>
      <c r="F12" s="168" t="str">
        <f t="shared" ca="1" si="6"/>
        <v/>
      </c>
      <c r="G12" s="168" t="str">
        <f t="shared" ca="1" si="7"/>
        <v/>
      </c>
      <c r="H12" s="168" t="str">
        <f t="shared" ca="1" si="8"/>
        <v/>
      </c>
      <c r="I12" s="168" t="str">
        <f t="shared" ca="1" si="9"/>
        <v/>
      </c>
      <c r="J12" s="122">
        <v>6</v>
      </c>
      <c r="K12" s="162" t="str">
        <f t="shared" ca="1" si="0"/>
        <v/>
      </c>
      <c r="L12" s="248" t="str">
        <f t="shared" ca="1" si="1"/>
        <v/>
      </c>
      <c r="M12" s="248"/>
      <c r="N12" s="248"/>
      <c r="O12" s="168" t="str">
        <f t="shared" ca="1" si="10"/>
        <v/>
      </c>
      <c r="P12" s="168" t="str">
        <f t="shared" ca="1" si="11"/>
        <v/>
      </c>
      <c r="Q12" s="168" t="str">
        <f t="shared" ca="1" si="12"/>
        <v/>
      </c>
      <c r="R12" s="123" t="str">
        <f t="shared" ca="1" si="13"/>
        <v/>
      </c>
      <c r="S12" s="86" t="str">
        <f t="shared" ca="1" si="14"/>
        <v>&lt;-- Hide This Row</v>
      </c>
    </row>
    <row r="13" spans="1:49" ht="15" customHeight="1" x14ac:dyDescent="0.2">
      <c r="A13" s="128">
        <v>7</v>
      </c>
      <c r="B13" s="150" t="str">
        <f t="shared" ca="1" si="2"/>
        <v/>
      </c>
      <c r="C13" s="143" t="str">
        <f t="shared" ca="1" si="3"/>
        <v/>
      </c>
      <c r="D13" s="169" t="str">
        <f t="shared" ca="1" si="4"/>
        <v/>
      </c>
      <c r="E13" s="129" t="str">
        <f t="shared" ca="1" si="5"/>
        <v/>
      </c>
      <c r="F13" s="169" t="str">
        <f t="shared" ca="1" si="6"/>
        <v/>
      </c>
      <c r="G13" s="169" t="str">
        <f t="shared" ca="1" si="7"/>
        <v/>
      </c>
      <c r="H13" s="169" t="str">
        <f t="shared" ca="1" si="8"/>
        <v/>
      </c>
      <c r="I13" s="169" t="str">
        <f t="shared" ca="1" si="9"/>
        <v/>
      </c>
      <c r="J13" s="128">
        <v>7</v>
      </c>
      <c r="K13" s="163" t="str">
        <f t="shared" ca="1" si="0"/>
        <v/>
      </c>
      <c r="L13" s="249" t="str">
        <f t="shared" ca="1" si="1"/>
        <v/>
      </c>
      <c r="M13" s="249"/>
      <c r="N13" s="249"/>
      <c r="O13" s="169" t="str">
        <f t="shared" ca="1" si="10"/>
        <v/>
      </c>
      <c r="P13" s="169" t="str">
        <f t="shared" ca="1" si="11"/>
        <v/>
      </c>
      <c r="Q13" s="169" t="str">
        <f t="shared" ca="1" si="12"/>
        <v/>
      </c>
      <c r="R13" s="129" t="str">
        <f t="shared" ca="1" si="13"/>
        <v/>
      </c>
      <c r="S13" s="86" t="str">
        <f t="shared" ca="1" si="14"/>
        <v>&lt;-- Hide This Row</v>
      </c>
    </row>
    <row r="14" spans="1:49" ht="15" customHeight="1" x14ac:dyDescent="0.2">
      <c r="A14" s="122">
        <v>8</v>
      </c>
      <c r="B14" s="149" t="str">
        <f t="shared" ca="1" si="2"/>
        <v/>
      </c>
      <c r="C14" s="142" t="str">
        <f t="shared" ca="1" si="3"/>
        <v/>
      </c>
      <c r="D14" s="168" t="str">
        <f t="shared" ca="1" si="4"/>
        <v/>
      </c>
      <c r="E14" s="123" t="str">
        <f t="shared" ca="1" si="5"/>
        <v/>
      </c>
      <c r="F14" s="168" t="str">
        <f t="shared" ca="1" si="6"/>
        <v/>
      </c>
      <c r="G14" s="168" t="str">
        <f t="shared" ca="1" si="7"/>
        <v/>
      </c>
      <c r="H14" s="168" t="str">
        <f t="shared" ca="1" si="8"/>
        <v/>
      </c>
      <c r="I14" s="168" t="str">
        <f t="shared" ca="1" si="9"/>
        <v/>
      </c>
      <c r="J14" s="122">
        <v>8</v>
      </c>
      <c r="K14" s="162" t="str">
        <f t="shared" ca="1" si="0"/>
        <v/>
      </c>
      <c r="L14" s="248" t="str">
        <f t="shared" ca="1" si="1"/>
        <v/>
      </c>
      <c r="M14" s="248"/>
      <c r="N14" s="248"/>
      <c r="O14" s="168" t="str">
        <f t="shared" ca="1" si="10"/>
        <v/>
      </c>
      <c r="P14" s="168" t="str">
        <f t="shared" ca="1" si="11"/>
        <v/>
      </c>
      <c r="Q14" s="168" t="str">
        <f t="shared" ca="1" si="12"/>
        <v/>
      </c>
      <c r="R14" s="123" t="str">
        <f t="shared" ca="1" si="13"/>
        <v/>
      </c>
      <c r="S14" s="86" t="str">
        <f t="shared" ca="1" si="14"/>
        <v>&lt;-- Hide This Row</v>
      </c>
    </row>
    <row r="15" spans="1:49" ht="15" customHeight="1" x14ac:dyDescent="0.2">
      <c r="A15" s="128">
        <v>9</v>
      </c>
      <c r="B15" s="150" t="str">
        <f t="shared" ca="1" si="2"/>
        <v/>
      </c>
      <c r="C15" s="143" t="str">
        <f t="shared" ca="1" si="3"/>
        <v/>
      </c>
      <c r="D15" s="169" t="str">
        <f t="shared" ca="1" si="4"/>
        <v/>
      </c>
      <c r="E15" s="129" t="str">
        <f t="shared" ca="1" si="5"/>
        <v/>
      </c>
      <c r="F15" s="169" t="str">
        <f t="shared" ca="1" si="6"/>
        <v/>
      </c>
      <c r="G15" s="169" t="str">
        <f t="shared" ca="1" si="7"/>
        <v/>
      </c>
      <c r="H15" s="169" t="str">
        <f t="shared" ca="1" si="8"/>
        <v/>
      </c>
      <c r="I15" s="169" t="str">
        <f t="shared" ca="1" si="9"/>
        <v/>
      </c>
      <c r="J15" s="128">
        <v>9</v>
      </c>
      <c r="K15" s="163" t="str">
        <f t="shared" ca="1" si="0"/>
        <v/>
      </c>
      <c r="L15" s="249" t="str">
        <f t="shared" ca="1" si="1"/>
        <v/>
      </c>
      <c r="M15" s="249"/>
      <c r="N15" s="249"/>
      <c r="O15" s="169" t="str">
        <f t="shared" ca="1" si="10"/>
        <v/>
      </c>
      <c r="P15" s="169" t="str">
        <f t="shared" ca="1" si="11"/>
        <v/>
      </c>
      <c r="Q15" s="169" t="str">
        <f t="shared" ca="1" si="12"/>
        <v/>
      </c>
      <c r="R15" s="129" t="str">
        <f t="shared" ca="1" si="13"/>
        <v/>
      </c>
      <c r="S15" s="86" t="str">
        <f t="shared" ca="1" si="14"/>
        <v>&lt;-- Hide This Row</v>
      </c>
    </row>
    <row r="16" spans="1:49" ht="15" customHeight="1" x14ac:dyDescent="0.2">
      <c r="A16" s="122">
        <v>10</v>
      </c>
      <c r="B16" s="149" t="str">
        <f t="shared" ca="1" si="2"/>
        <v/>
      </c>
      <c r="C16" s="142" t="str">
        <f t="shared" ca="1" si="3"/>
        <v/>
      </c>
      <c r="D16" s="168" t="str">
        <f t="shared" ca="1" si="4"/>
        <v/>
      </c>
      <c r="E16" s="123" t="str">
        <f t="shared" ca="1" si="5"/>
        <v/>
      </c>
      <c r="F16" s="168" t="str">
        <f t="shared" ca="1" si="6"/>
        <v/>
      </c>
      <c r="G16" s="168" t="str">
        <f t="shared" ca="1" si="7"/>
        <v/>
      </c>
      <c r="H16" s="168" t="str">
        <f t="shared" ca="1" si="8"/>
        <v/>
      </c>
      <c r="I16" s="168" t="str">
        <f t="shared" ca="1" si="9"/>
        <v/>
      </c>
      <c r="J16" s="122">
        <v>10</v>
      </c>
      <c r="K16" s="162" t="str">
        <f t="shared" ca="1" si="0"/>
        <v/>
      </c>
      <c r="L16" s="248" t="str">
        <f t="shared" ca="1" si="1"/>
        <v/>
      </c>
      <c r="M16" s="248"/>
      <c r="N16" s="248"/>
      <c r="O16" s="168" t="str">
        <f t="shared" ca="1" si="10"/>
        <v/>
      </c>
      <c r="P16" s="168" t="str">
        <f t="shared" ca="1" si="11"/>
        <v/>
      </c>
      <c r="Q16" s="168" t="str">
        <f t="shared" ca="1" si="12"/>
        <v/>
      </c>
      <c r="R16" s="123" t="str">
        <f t="shared" ca="1" si="13"/>
        <v/>
      </c>
      <c r="S16" s="86" t="str">
        <f t="shared" ca="1" si="14"/>
        <v>&lt;-- Hide This Row</v>
      </c>
    </row>
    <row r="17" spans="1:23" ht="15" customHeight="1" x14ac:dyDescent="0.2">
      <c r="A17" s="128">
        <v>11</v>
      </c>
      <c r="B17" s="150" t="str">
        <f t="shared" ca="1" si="2"/>
        <v/>
      </c>
      <c r="C17" s="143" t="str">
        <f t="shared" ca="1" si="3"/>
        <v/>
      </c>
      <c r="D17" s="169" t="str">
        <f t="shared" ca="1" si="4"/>
        <v/>
      </c>
      <c r="E17" s="129" t="str">
        <f t="shared" ca="1" si="5"/>
        <v/>
      </c>
      <c r="F17" s="169" t="str">
        <f t="shared" ca="1" si="6"/>
        <v/>
      </c>
      <c r="G17" s="169" t="str">
        <f t="shared" ca="1" si="7"/>
        <v/>
      </c>
      <c r="H17" s="169" t="str">
        <f t="shared" ca="1" si="8"/>
        <v/>
      </c>
      <c r="I17" s="169" t="str">
        <f t="shared" ca="1" si="9"/>
        <v/>
      </c>
      <c r="J17" s="128">
        <v>11</v>
      </c>
      <c r="K17" s="163" t="str">
        <f t="shared" ca="1" si="0"/>
        <v/>
      </c>
      <c r="L17" s="249" t="str">
        <f t="shared" ca="1" si="1"/>
        <v/>
      </c>
      <c r="M17" s="249"/>
      <c r="N17" s="249"/>
      <c r="O17" s="169" t="str">
        <f t="shared" ca="1" si="10"/>
        <v/>
      </c>
      <c r="P17" s="169" t="str">
        <f t="shared" ca="1" si="11"/>
        <v/>
      </c>
      <c r="Q17" s="169" t="str">
        <f t="shared" ca="1" si="12"/>
        <v/>
      </c>
      <c r="R17" s="129" t="str">
        <f t="shared" ca="1" si="13"/>
        <v/>
      </c>
      <c r="S17" s="86" t="str">
        <f t="shared" ca="1" si="14"/>
        <v>&lt;-- Hide This Row</v>
      </c>
    </row>
    <row r="18" spans="1:23" ht="15" customHeight="1" x14ac:dyDescent="0.2">
      <c r="A18" s="122">
        <v>12</v>
      </c>
      <c r="B18" s="149" t="str">
        <f t="shared" ca="1" si="2"/>
        <v/>
      </c>
      <c r="C18" s="142" t="str">
        <f t="shared" ca="1" si="3"/>
        <v/>
      </c>
      <c r="D18" s="168" t="str">
        <f t="shared" ca="1" si="4"/>
        <v/>
      </c>
      <c r="E18" s="123" t="str">
        <f t="shared" ca="1" si="5"/>
        <v/>
      </c>
      <c r="F18" s="168" t="str">
        <f t="shared" ca="1" si="6"/>
        <v/>
      </c>
      <c r="G18" s="168" t="str">
        <f t="shared" ca="1" si="7"/>
        <v/>
      </c>
      <c r="H18" s="168" t="str">
        <f t="shared" ca="1" si="8"/>
        <v/>
      </c>
      <c r="I18" s="168" t="str">
        <f t="shared" ca="1" si="9"/>
        <v/>
      </c>
      <c r="J18" s="122">
        <v>12</v>
      </c>
      <c r="K18" s="162" t="str">
        <f t="shared" ca="1" si="0"/>
        <v/>
      </c>
      <c r="L18" s="248" t="str">
        <f t="shared" ca="1" si="1"/>
        <v/>
      </c>
      <c r="M18" s="248"/>
      <c r="N18" s="248"/>
      <c r="O18" s="168" t="str">
        <f t="shared" ca="1" si="10"/>
        <v/>
      </c>
      <c r="P18" s="168" t="str">
        <f t="shared" ca="1" si="11"/>
        <v/>
      </c>
      <c r="Q18" s="168" t="str">
        <f t="shared" ca="1" si="12"/>
        <v/>
      </c>
      <c r="R18" s="123" t="str">
        <f t="shared" ca="1" si="13"/>
        <v/>
      </c>
      <c r="S18" s="86" t="str">
        <f t="shared" ca="1" si="14"/>
        <v>&lt;-- Hide This Row</v>
      </c>
    </row>
    <row r="19" spans="1:23" ht="15" customHeight="1" x14ac:dyDescent="0.2">
      <c r="A19" s="128">
        <v>13</v>
      </c>
      <c r="B19" s="150" t="str">
        <f t="shared" ca="1" si="2"/>
        <v/>
      </c>
      <c r="C19" s="143" t="str">
        <f t="shared" ca="1" si="3"/>
        <v/>
      </c>
      <c r="D19" s="169" t="str">
        <f t="shared" ca="1" si="4"/>
        <v/>
      </c>
      <c r="E19" s="129" t="str">
        <f t="shared" ca="1" si="5"/>
        <v/>
      </c>
      <c r="F19" s="169" t="str">
        <f t="shared" ca="1" si="6"/>
        <v/>
      </c>
      <c r="G19" s="169" t="str">
        <f t="shared" ca="1" si="7"/>
        <v/>
      </c>
      <c r="H19" s="169" t="str">
        <f t="shared" ca="1" si="8"/>
        <v/>
      </c>
      <c r="I19" s="169" t="str">
        <f t="shared" ca="1" si="9"/>
        <v/>
      </c>
      <c r="J19" s="128">
        <v>13</v>
      </c>
      <c r="K19" s="163" t="str">
        <f t="shared" ca="1" si="0"/>
        <v/>
      </c>
      <c r="L19" s="249" t="str">
        <f t="shared" ca="1" si="1"/>
        <v/>
      </c>
      <c r="M19" s="249"/>
      <c r="N19" s="249"/>
      <c r="O19" s="169" t="str">
        <f t="shared" ca="1" si="10"/>
        <v/>
      </c>
      <c r="P19" s="169" t="str">
        <f t="shared" ca="1" si="11"/>
        <v/>
      </c>
      <c r="Q19" s="169" t="str">
        <f t="shared" ca="1" si="12"/>
        <v/>
      </c>
      <c r="R19" s="129" t="str">
        <f t="shared" ca="1" si="13"/>
        <v/>
      </c>
      <c r="S19" s="86" t="str">
        <f t="shared" ca="1" si="14"/>
        <v>&lt;-- Hide This Row</v>
      </c>
    </row>
    <row r="20" spans="1:23" ht="15" customHeight="1" x14ac:dyDescent="0.2">
      <c r="A20" s="122">
        <v>14</v>
      </c>
      <c r="B20" s="149" t="str">
        <f t="shared" ca="1" si="2"/>
        <v/>
      </c>
      <c r="C20" s="142" t="str">
        <f t="shared" ca="1" si="3"/>
        <v/>
      </c>
      <c r="D20" s="168" t="str">
        <f t="shared" ca="1" si="4"/>
        <v/>
      </c>
      <c r="E20" s="123" t="str">
        <f t="shared" ca="1" si="5"/>
        <v/>
      </c>
      <c r="F20" s="168" t="str">
        <f t="shared" ca="1" si="6"/>
        <v/>
      </c>
      <c r="G20" s="168" t="str">
        <f t="shared" ca="1" si="7"/>
        <v/>
      </c>
      <c r="H20" s="168" t="str">
        <f t="shared" ca="1" si="8"/>
        <v/>
      </c>
      <c r="I20" s="168" t="str">
        <f t="shared" ca="1" si="9"/>
        <v/>
      </c>
      <c r="J20" s="122">
        <v>14</v>
      </c>
      <c r="K20" s="162" t="str">
        <f t="shared" ca="1" si="0"/>
        <v/>
      </c>
      <c r="L20" s="248" t="str">
        <f t="shared" ca="1" si="1"/>
        <v/>
      </c>
      <c r="M20" s="248"/>
      <c r="N20" s="248"/>
      <c r="O20" s="168" t="str">
        <f t="shared" ca="1" si="10"/>
        <v/>
      </c>
      <c r="P20" s="168" t="str">
        <f t="shared" ca="1" si="11"/>
        <v/>
      </c>
      <c r="Q20" s="168" t="str">
        <f t="shared" ca="1" si="12"/>
        <v/>
      </c>
      <c r="R20" s="123" t="str">
        <f t="shared" ca="1" si="13"/>
        <v/>
      </c>
      <c r="S20" s="86" t="str">
        <f t="shared" ca="1" si="14"/>
        <v>&lt;-- Hide This Row</v>
      </c>
    </row>
    <row r="21" spans="1:23" ht="15" customHeight="1" x14ac:dyDescent="0.2">
      <c r="A21" s="128">
        <v>15</v>
      </c>
      <c r="B21" s="150" t="str">
        <f t="shared" ca="1" si="2"/>
        <v/>
      </c>
      <c r="C21" s="143" t="str">
        <f t="shared" ca="1" si="3"/>
        <v/>
      </c>
      <c r="D21" s="169" t="str">
        <f t="shared" ca="1" si="4"/>
        <v/>
      </c>
      <c r="E21" s="129" t="str">
        <f t="shared" ca="1" si="5"/>
        <v/>
      </c>
      <c r="F21" s="169" t="str">
        <f t="shared" ca="1" si="6"/>
        <v/>
      </c>
      <c r="G21" s="169" t="str">
        <f t="shared" ca="1" si="7"/>
        <v/>
      </c>
      <c r="H21" s="169" t="str">
        <f t="shared" ca="1" si="8"/>
        <v/>
      </c>
      <c r="I21" s="169" t="str">
        <f t="shared" ca="1" si="9"/>
        <v/>
      </c>
      <c r="J21" s="128">
        <v>15</v>
      </c>
      <c r="K21" s="163" t="str">
        <f t="shared" ca="1" si="0"/>
        <v/>
      </c>
      <c r="L21" s="249" t="str">
        <f t="shared" ca="1" si="1"/>
        <v/>
      </c>
      <c r="M21" s="249"/>
      <c r="N21" s="249"/>
      <c r="O21" s="169" t="str">
        <f t="shared" ca="1" si="10"/>
        <v/>
      </c>
      <c r="P21" s="169" t="str">
        <f t="shared" ca="1" si="11"/>
        <v/>
      </c>
      <c r="Q21" s="169" t="str">
        <f t="shared" ca="1" si="12"/>
        <v/>
      </c>
      <c r="R21" s="129" t="str">
        <f t="shared" ca="1" si="13"/>
        <v/>
      </c>
      <c r="S21" s="86" t="str">
        <f t="shared" ca="1" si="14"/>
        <v>&lt;-- Hide This Row</v>
      </c>
    </row>
    <row r="22" spans="1:23" ht="15" customHeight="1" x14ac:dyDescent="0.2">
      <c r="A22" s="122">
        <v>16</v>
      </c>
      <c r="B22" s="149" t="str">
        <f t="shared" ca="1" si="2"/>
        <v/>
      </c>
      <c r="C22" s="142" t="str">
        <f t="shared" ca="1" si="3"/>
        <v/>
      </c>
      <c r="D22" s="168" t="str">
        <f t="shared" ca="1" si="4"/>
        <v/>
      </c>
      <c r="E22" s="123" t="str">
        <f t="shared" ca="1" si="5"/>
        <v/>
      </c>
      <c r="F22" s="168" t="str">
        <f t="shared" ca="1" si="6"/>
        <v/>
      </c>
      <c r="G22" s="168" t="str">
        <f t="shared" ca="1" si="7"/>
        <v/>
      </c>
      <c r="H22" s="168" t="str">
        <f t="shared" ca="1" si="8"/>
        <v/>
      </c>
      <c r="I22" s="168" t="str">
        <f t="shared" ca="1" si="9"/>
        <v/>
      </c>
      <c r="J22" s="122">
        <v>16</v>
      </c>
      <c r="K22" s="162" t="str">
        <f t="shared" ca="1" si="0"/>
        <v/>
      </c>
      <c r="L22" s="248" t="str">
        <f t="shared" ca="1" si="1"/>
        <v/>
      </c>
      <c r="M22" s="248"/>
      <c r="N22" s="248"/>
      <c r="O22" s="168" t="str">
        <f t="shared" ca="1" si="10"/>
        <v/>
      </c>
      <c r="P22" s="168" t="str">
        <f t="shared" ca="1" si="11"/>
        <v/>
      </c>
      <c r="Q22" s="168" t="str">
        <f t="shared" ca="1" si="12"/>
        <v/>
      </c>
      <c r="R22" s="123" t="str">
        <f t="shared" ca="1" si="13"/>
        <v/>
      </c>
      <c r="S22" s="86" t="str">
        <f t="shared" ca="1" si="14"/>
        <v>&lt;-- Hide This Row</v>
      </c>
    </row>
    <row r="23" spans="1:23" ht="15" customHeight="1" x14ac:dyDescent="0.2">
      <c r="A23" s="128">
        <v>17</v>
      </c>
      <c r="B23" s="150" t="str">
        <f t="shared" ca="1" si="2"/>
        <v/>
      </c>
      <c r="C23" s="143" t="str">
        <f t="shared" ca="1" si="3"/>
        <v/>
      </c>
      <c r="D23" s="169" t="str">
        <f t="shared" ca="1" si="4"/>
        <v/>
      </c>
      <c r="E23" s="129" t="str">
        <f t="shared" ca="1" si="5"/>
        <v/>
      </c>
      <c r="F23" s="169" t="str">
        <f t="shared" ca="1" si="6"/>
        <v/>
      </c>
      <c r="G23" s="169" t="str">
        <f t="shared" ca="1" si="7"/>
        <v/>
      </c>
      <c r="H23" s="169" t="str">
        <f t="shared" ca="1" si="8"/>
        <v/>
      </c>
      <c r="I23" s="169" t="str">
        <f t="shared" ca="1" si="9"/>
        <v/>
      </c>
      <c r="J23" s="128">
        <v>17</v>
      </c>
      <c r="K23" s="163" t="str">
        <f t="shared" ca="1" si="0"/>
        <v/>
      </c>
      <c r="L23" s="249" t="str">
        <f t="shared" ca="1" si="1"/>
        <v/>
      </c>
      <c r="M23" s="249"/>
      <c r="N23" s="249"/>
      <c r="O23" s="169" t="str">
        <f t="shared" ca="1" si="10"/>
        <v/>
      </c>
      <c r="P23" s="169" t="str">
        <f t="shared" ca="1" si="11"/>
        <v/>
      </c>
      <c r="Q23" s="169" t="str">
        <f t="shared" ca="1" si="12"/>
        <v/>
      </c>
      <c r="R23" s="129" t="str">
        <f t="shared" ca="1" si="13"/>
        <v/>
      </c>
      <c r="S23" s="86" t="str">
        <f t="shared" ca="1" si="14"/>
        <v>&lt;-- Hide This Row</v>
      </c>
    </row>
    <row r="24" spans="1:23" ht="15" customHeight="1" x14ac:dyDescent="0.2">
      <c r="A24" s="122">
        <v>18</v>
      </c>
      <c r="B24" s="149" t="str">
        <f t="shared" ca="1" si="2"/>
        <v/>
      </c>
      <c r="C24" s="142" t="str">
        <f t="shared" ca="1" si="3"/>
        <v/>
      </c>
      <c r="D24" s="168" t="str">
        <f t="shared" ca="1" si="4"/>
        <v/>
      </c>
      <c r="E24" s="123" t="str">
        <f t="shared" ca="1" si="5"/>
        <v/>
      </c>
      <c r="F24" s="168" t="str">
        <f t="shared" ca="1" si="6"/>
        <v/>
      </c>
      <c r="G24" s="168" t="str">
        <f t="shared" ca="1" si="7"/>
        <v/>
      </c>
      <c r="H24" s="168" t="str">
        <f t="shared" ca="1" si="8"/>
        <v/>
      </c>
      <c r="I24" s="168" t="str">
        <f t="shared" ca="1" si="9"/>
        <v/>
      </c>
      <c r="J24" s="122">
        <v>18</v>
      </c>
      <c r="K24" s="162" t="str">
        <f t="shared" ca="1" si="0"/>
        <v/>
      </c>
      <c r="L24" s="248" t="str">
        <f t="shared" ca="1" si="1"/>
        <v/>
      </c>
      <c r="M24" s="248"/>
      <c r="N24" s="248"/>
      <c r="O24" s="168" t="str">
        <f t="shared" ca="1" si="10"/>
        <v/>
      </c>
      <c r="P24" s="168" t="str">
        <f t="shared" ca="1" si="11"/>
        <v/>
      </c>
      <c r="Q24" s="168" t="str">
        <f t="shared" ca="1" si="12"/>
        <v/>
      </c>
      <c r="R24" s="123" t="str">
        <f t="shared" ca="1" si="13"/>
        <v/>
      </c>
      <c r="S24" s="86" t="str">
        <f t="shared" ca="1" si="14"/>
        <v>&lt;-- Hide This Row</v>
      </c>
    </row>
    <row r="25" spans="1:23" ht="15" customHeight="1" x14ac:dyDescent="0.2">
      <c r="A25" s="128">
        <v>19</v>
      </c>
      <c r="B25" s="150" t="str">
        <f t="shared" ca="1" si="2"/>
        <v/>
      </c>
      <c r="C25" s="143" t="str">
        <f t="shared" ca="1" si="3"/>
        <v/>
      </c>
      <c r="D25" s="169" t="str">
        <f t="shared" ca="1" si="4"/>
        <v/>
      </c>
      <c r="E25" s="129" t="str">
        <f t="shared" ca="1" si="5"/>
        <v/>
      </c>
      <c r="F25" s="169" t="str">
        <f t="shared" ca="1" si="6"/>
        <v/>
      </c>
      <c r="G25" s="169" t="str">
        <f t="shared" ca="1" si="7"/>
        <v/>
      </c>
      <c r="H25" s="169" t="str">
        <f t="shared" ca="1" si="8"/>
        <v/>
      </c>
      <c r="I25" s="169" t="str">
        <f t="shared" ca="1" si="9"/>
        <v/>
      </c>
      <c r="J25" s="128">
        <v>19</v>
      </c>
      <c r="K25" s="163" t="str">
        <f t="shared" ca="1" si="0"/>
        <v/>
      </c>
      <c r="L25" s="249" t="str">
        <f t="shared" ca="1" si="1"/>
        <v/>
      </c>
      <c r="M25" s="249"/>
      <c r="N25" s="249"/>
      <c r="O25" s="169" t="str">
        <f t="shared" ca="1" si="10"/>
        <v/>
      </c>
      <c r="P25" s="169" t="str">
        <f t="shared" ca="1" si="11"/>
        <v/>
      </c>
      <c r="Q25" s="169" t="str">
        <f t="shared" ca="1" si="12"/>
        <v/>
      </c>
      <c r="R25" s="129" t="str">
        <f t="shared" ca="1" si="13"/>
        <v/>
      </c>
      <c r="S25" s="86" t="str">
        <f t="shared" ca="1" si="14"/>
        <v>&lt;-- Hide This Row</v>
      </c>
    </row>
    <row r="26" spans="1:23" ht="15" customHeight="1" x14ac:dyDescent="0.2">
      <c r="A26" s="122">
        <v>20</v>
      </c>
      <c r="B26" s="149" t="str">
        <f t="shared" ca="1" si="2"/>
        <v/>
      </c>
      <c r="C26" s="142" t="str">
        <f t="shared" ca="1" si="3"/>
        <v/>
      </c>
      <c r="D26" s="168" t="str">
        <f t="shared" ca="1" si="4"/>
        <v/>
      </c>
      <c r="E26" s="123" t="str">
        <f t="shared" ca="1" si="5"/>
        <v/>
      </c>
      <c r="F26" s="168" t="str">
        <f t="shared" ca="1" si="6"/>
        <v/>
      </c>
      <c r="G26" s="168" t="str">
        <f t="shared" ca="1" si="7"/>
        <v/>
      </c>
      <c r="H26" s="168" t="str">
        <f t="shared" ca="1" si="8"/>
        <v/>
      </c>
      <c r="I26" s="168" t="str">
        <f t="shared" ca="1" si="9"/>
        <v/>
      </c>
      <c r="J26" s="122">
        <v>20</v>
      </c>
      <c r="K26" s="162" t="str">
        <f t="shared" ca="1" si="0"/>
        <v/>
      </c>
      <c r="L26" s="248" t="str">
        <f t="shared" ca="1" si="1"/>
        <v/>
      </c>
      <c r="M26" s="248"/>
      <c r="N26" s="248"/>
      <c r="O26" s="168" t="str">
        <f t="shared" ca="1" si="10"/>
        <v/>
      </c>
      <c r="P26" s="168" t="str">
        <f t="shared" ca="1" si="11"/>
        <v/>
      </c>
      <c r="Q26" s="168" t="str">
        <f t="shared" ca="1" si="12"/>
        <v/>
      </c>
      <c r="R26" s="123" t="str">
        <f t="shared" ca="1" si="13"/>
        <v/>
      </c>
      <c r="S26" s="86" t="str">
        <f t="shared" ca="1" si="14"/>
        <v>&lt;-- Hide This Row</v>
      </c>
    </row>
    <row r="27" spans="1:23" ht="15" customHeight="1" x14ac:dyDescent="0.2">
      <c r="A27" s="128">
        <v>21</v>
      </c>
      <c r="B27" s="150" t="str">
        <f t="shared" ca="1" si="2"/>
        <v/>
      </c>
      <c r="C27" s="143" t="str">
        <f t="shared" ca="1" si="3"/>
        <v/>
      </c>
      <c r="D27" s="169" t="str">
        <f t="shared" ca="1" si="4"/>
        <v/>
      </c>
      <c r="E27" s="129" t="str">
        <f t="shared" ca="1" si="5"/>
        <v/>
      </c>
      <c r="F27" s="169" t="str">
        <f t="shared" ca="1" si="6"/>
        <v/>
      </c>
      <c r="G27" s="169" t="str">
        <f t="shared" ca="1" si="7"/>
        <v/>
      </c>
      <c r="H27" s="169" t="str">
        <f t="shared" ca="1" si="8"/>
        <v/>
      </c>
      <c r="I27" s="169" t="str">
        <f t="shared" ca="1" si="9"/>
        <v/>
      </c>
      <c r="J27" s="128">
        <v>21</v>
      </c>
      <c r="K27" s="163" t="str">
        <f t="shared" ca="1" si="0"/>
        <v/>
      </c>
      <c r="L27" s="249" t="str">
        <f t="shared" ca="1" si="1"/>
        <v/>
      </c>
      <c r="M27" s="249"/>
      <c r="N27" s="249"/>
      <c r="O27" s="169" t="str">
        <f t="shared" ca="1" si="10"/>
        <v/>
      </c>
      <c r="P27" s="169" t="str">
        <f t="shared" ca="1" si="11"/>
        <v/>
      </c>
      <c r="Q27" s="169" t="str">
        <f t="shared" ca="1" si="12"/>
        <v/>
      </c>
      <c r="R27" s="129" t="str">
        <f t="shared" ca="1" si="13"/>
        <v/>
      </c>
      <c r="S27" s="86" t="str">
        <f t="shared" ca="1" si="14"/>
        <v>&lt;-- Hide This Row</v>
      </c>
    </row>
    <row r="28" spans="1:23" ht="15" customHeight="1" x14ac:dyDescent="0.2">
      <c r="A28" s="122">
        <v>22</v>
      </c>
      <c r="B28" s="149" t="str">
        <f t="shared" ca="1" si="2"/>
        <v/>
      </c>
      <c r="C28" s="142" t="str">
        <f t="shared" ca="1" si="3"/>
        <v/>
      </c>
      <c r="D28" s="168" t="str">
        <f t="shared" ca="1" si="4"/>
        <v/>
      </c>
      <c r="E28" s="123" t="str">
        <f t="shared" ca="1" si="5"/>
        <v/>
      </c>
      <c r="F28" s="168" t="str">
        <f t="shared" ca="1" si="6"/>
        <v/>
      </c>
      <c r="G28" s="168" t="str">
        <f t="shared" ca="1" si="7"/>
        <v/>
      </c>
      <c r="H28" s="168" t="str">
        <f t="shared" ca="1" si="8"/>
        <v/>
      </c>
      <c r="I28" s="168" t="str">
        <f t="shared" ca="1" si="9"/>
        <v/>
      </c>
      <c r="J28" s="122">
        <v>22</v>
      </c>
      <c r="K28" s="162" t="str">
        <f t="shared" ca="1" si="0"/>
        <v/>
      </c>
      <c r="L28" s="248" t="str">
        <f t="shared" ca="1" si="1"/>
        <v/>
      </c>
      <c r="M28" s="248"/>
      <c r="N28" s="248"/>
      <c r="O28" s="168" t="str">
        <f t="shared" ca="1" si="10"/>
        <v/>
      </c>
      <c r="P28" s="168" t="str">
        <f t="shared" ca="1" si="11"/>
        <v/>
      </c>
      <c r="Q28" s="168" t="str">
        <f t="shared" ca="1" si="12"/>
        <v/>
      </c>
      <c r="R28" s="123" t="str">
        <f t="shared" ca="1" si="13"/>
        <v/>
      </c>
      <c r="S28" s="86" t="str">
        <f t="shared" ca="1" si="14"/>
        <v>&lt;-- Hide This Row</v>
      </c>
    </row>
    <row r="29" spans="1:23" ht="15" customHeight="1" x14ac:dyDescent="0.2">
      <c r="A29" s="128">
        <v>23</v>
      </c>
      <c r="B29" s="150" t="str">
        <f t="shared" ca="1" si="2"/>
        <v/>
      </c>
      <c r="C29" s="143" t="str">
        <f t="shared" ca="1" si="3"/>
        <v/>
      </c>
      <c r="D29" s="169" t="str">
        <f t="shared" ca="1" si="4"/>
        <v/>
      </c>
      <c r="E29" s="129" t="str">
        <f t="shared" ca="1" si="5"/>
        <v/>
      </c>
      <c r="F29" s="169" t="str">
        <f t="shared" ca="1" si="6"/>
        <v/>
      </c>
      <c r="G29" s="169" t="str">
        <f t="shared" ca="1" si="7"/>
        <v/>
      </c>
      <c r="H29" s="169" t="str">
        <f t="shared" ca="1" si="8"/>
        <v/>
      </c>
      <c r="I29" s="169" t="str">
        <f t="shared" ca="1" si="9"/>
        <v/>
      </c>
      <c r="J29" s="128">
        <v>23</v>
      </c>
      <c r="K29" s="163" t="str">
        <f t="shared" ca="1" si="0"/>
        <v/>
      </c>
      <c r="L29" s="249" t="str">
        <f t="shared" ca="1" si="1"/>
        <v/>
      </c>
      <c r="M29" s="249"/>
      <c r="N29" s="249"/>
      <c r="O29" s="169" t="str">
        <f t="shared" ca="1" si="10"/>
        <v/>
      </c>
      <c r="P29" s="169" t="str">
        <f t="shared" ca="1" si="11"/>
        <v/>
      </c>
      <c r="Q29" s="169" t="str">
        <f t="shared" ca="1" si="12"/>
        <v/>
      </c>
      <c r="R29" s="129" t="str">
        <f t="shared" ca="1" si="13"/>
        <v/>
      </c>
      <c r="S29" s="86" t="str">
        <f t="shared" ca="1" si="14"/>
        <v>&lt;-- Hide This Row</v>
      </c>
    </row>
    <row r="30" spans="1:23" ht="15" customHeight="1" x14ac:dyDescent="0.2">
      <c r="A30" s="122">
        <f t="shared" ref="A30:A36" si="15">1+A29</f>
        <v>24</v>
      </c>
      <c r="B30" s="149" t="str">
        <f t="shared" ca="1" si="2"/>
        <v/>
      </c>
      <c r="C30" s="142" t="str">
        <f t="shared" ca="1" si="3"/>
        <v/>
      </c>
      <c r="D30" s="168" t="str">
        <f t="shared" ca="1" si="4"/>
        <v/>
      </c>
      <c r="E30" s="123" t="str">
        <f t="shared" ca="1" si="5"/>
        <v/>
      </c>
      <c r="F30" s="168" t="str">
        <f t="shared" ca="1" si="6"/>
        <v/>
      </c>
      <c r="G30" s="168" t="str">
        <f t="shared" ca="1" si="7"/>
        <v/>
      </c>
      <c r="H30" s="168" t="str">
        <f t="shared" ca="1" si="8"/>
        <v/>
      </c>
      <c r="I30" s="168" t="str">
        <f t="shared" ca="1" si="9"/>
        <v/>
      </c>
      <c r="J30" s="122">
        <f t="shared" ref="J30:J36" si="16">1+J29</f>
        <v>24</v>
      </c>
      <c r="K30" s="162" t="str">
        <f t="shared" ca="1" si="0"/>
        <v/>
      </c>
      <c r="L30" s="248" t="str">
        <f t="shared" ca="1" si="1"/>
        <v/>
      </c>
      <c r="M30" s="248"/>
      <c r="N30" s="248"/>
      <c r="O30" s="168" t="str">
        <f t="shared" ca="1" si="10"/>
        <v/>
      </c>
      <c r="P30" s="168" t="str">
        <f t="shared" ca="1" si="11"/>
        <v/>
      </c>
      <c r="Q30" s="168" t="str">
        <f t="shared" ca="1" si="12"/>
        <v/>
      </c>
      <c r="R30" s="123" t="str">
        <f t="shared" ca="1" si="13"/>
        <v/>
      </c>
      <c r="S30" s="86" t="str">
        <f t="shared" ca="1" si="14"/>
        <v>&lt;-- Hide This Row</v>
      </c>
      <c r="W30" s="160"/>
    </row>
    <row r="31" spans="1:23" ht="15" customHeight="1" x14ac:dyDescent="0.2">
      <c r="A31" s="128">
        <f t="shared" si="15"/>
        <v>25</v>
      </c>
      <c r="B31" s="150" t="str">
        <f t="shared" ca="1" si="2"/>
        <v/>
      </c>
      <c r="C31" s="143" t="str">
        <f t="shared" ca="1" si="3"/>
        <v/>
      </c>
      <c r="D31" s="169" t="str">
        <f t="shared" ca="1" si="4"/>
        <v/>
      </c>
      <c r="E31" s="129" t="str">
        <f t="shared" ca="1" si="5"/>
        <v/>
      </c>
      <c r="F31" s="169" t="str">
        <f t="shared" ca="1" si="6"/>
        <v/>
      </c>
      <c r="G31" s="169" t="str">
        <f t="shared" ca="1" si="7"/>
        <v/>
      </c>
      <c r="H31" s="169" t="str">
        <f t="shared" ca="1" si="8"/>
        <v/>
      </c>
      <c r="I31" s="169" t="str">
        <f t="shared" ca="1" si="9"/>
        <v/>
      </c>
      <c r="J31" s="128">
        <f t="shared" si="16"/>
        <v>25</v>
      </c>
      <c r="K31" s="163" t="str">
        <f t="shared" ca="1" si="0"/>
        <v/>
      </c>
      <c r="L31" s="249" t="str">
        <f t="shared" ca="1" si="1"/>
        <v/>
      </c>
      <c r="M31" s="249"/>
      <c r="N31" s="249"/>
      <c r="O31" s="169" t="str">
        <f t="shared" ca="1" si="10"/>
        <v/>
      </c>
      <c r="P31" s="169" t="str">
        <f t="shared" ca="1" si="11"/>
        <v/>
      </c>
      <c r="Q31" s="169" t="str">
        <f t="shared" ca="1" si="12"/>
        <v/>
      </c>
      <c r="R31" s="129" t="str">
        <f t="shared" ca="1" si="13"/>
        <v/>
      </c>
      <c r="S31" s="86" t="str">
        <f t="shared" ca="1" si="14"/>
        <v>&lt;-- Hide This Row</v>
      </c>
    </row>
    <row r="32" spans="1:23" ht="15" customHeight="1" x14ac:dyDescent="0.2">
      <c r="A32" s="122">
        <f t="shared" si="15"/>
        <v>26</v>
      </c>
      <c r="B32" s="149" t="str">
        <f t="shared" ca="1" si="2"/>
        <v/>
      </c>
      <c r="C32" s="142" t="str">
        <f t="shared" ca="1" si="3"/>
        <v/>
      </c>
      <c r="D32" s="168" t="str">
        <f t="shared" ca="1" si="4"/>
        <v/>
      </c>
      <c r="E32" s="123" t="str">
        <f t="shared" ca="1" si="5"/>
        <v/>
      </c>
      <c r="F32" s="168" t="str">
        <f t="shared" ca="1" si="6"/>
        <v/>
      </c>
      <c r="G32" s="168" t="str">
        <f t="shared" ca="1" si="7"/>
        <v/>
      </c>
      <c r="H32" s="168" t="str">
        <f t="shared" ca="1" si="8"/>
        <v/>
      </c>
      <c r="I32" s="168" t="str">
        <f t="shared" ca="1" si="9"/>
        <v/>
      </c>
      <c r="J32" s="122">
        <f t="shared" si="16"/>
        <v>26</v>
      </c>
      <c r="K32" s="162" t="str">
        <f t="shared" ca="1" si="0"/>
        <v/>
      </c>
      <c r="L32" s="248" t="str">
        <f t="shared" ca="1" si="1"/>
        <v/>
      </c>
      <c r="M32" s="248"/>
      <c r="N32" s="248"/>
      <c r="O32" s="168" t="str">
        <f t="shared" ca="1" si="10"/>
        <v/>
      </c>
      <c r="P32" s="168" t="str">
        <f t="shared" ca="1" si="11"/>
        <v/>
      </c>
      <c r="Q32" s="168" t="str">
        <f t="shared" ca="1" si="12"/>
        <v/>
      </c>
      <c r="R32" s="123" t="str">
        <f t="shared" ca="1" si="13"/>
        <v/>
      </c>
      <c r="S32" s="86" t="str">
        <f t="shared" ca="1" si="14"/>
        <v>&lt;-- Hide This Row</v>
      </c>
    </row>
    <row r="33" spans="1:19" ht="15" customHeight="1" x14ac:dyDescent="0.2">
      <c r="A33" s="128">
        <f t="shared" si="15"/>
        <v>27</v>
      </c>
      <c r="B33" s="150" t="str">
        <f t="shared" ca="1" si="2"/>
        <v/>
      </c>
      <c r="C33" s="143" t="str">
        <f t="shared" ca="1" si="3"/>
        <v/>
      </c>
      <c r="D33" s="169" t="str">
        <f t="shared" ca="1" si="4"/>
        <v/>
      </c>
      <c r="E33" s="129" t="str">
        <f t="shared" ca="1" si="5"/>
        <v/>
      </c>
      <c r="F33" s="169" t="str">
        <f t="shared" ca="1" si="6"/>
        <v/>
      </c>
      <c r="G33" s="169" t="str">
        <f t="shared" ca="1" si="7"/>
        <v/>
      </c>
      <c r="H33" s="169" t="str">
        <f t="shared" ca="1" si="8"/>
        <v/>
      </c>
      <c r="I33" s="169" t="str">
        <f t="shared" ca="1" si="9"/>
        <v/>
      </c>
      <c r="J33" s="128">
        <f t="shared" si="16"/>
        <v>27</v>
      </c>
      <c r="K33" s="163" t="str">
        <f t="shared" ca="1" si="0"/>
        <v/>
      </c>
      <c r="L33" s="249" t="str">
        <f t="shared" ca="1" si="1"/>
        <v/>
      </c>
      <c r="M33" s="249"/>
      <c r="N33" s="249"/>
      <c r="O33" s="169" t="str">
        <f t="shared" ca="1" si="10"/>
        <v/>
      </c>
      <c r="P33" s="169" t="str">
        <f t="shared" ca="1" si="11"/>
        <v/>
      </c>
      <c r="Q33" s="169" t="str">
        <f t="shared" ca="1" si="12"/>
        <v/>
      </c>
      <c r="R33" s="129" t="str">
        <f t="shared" ca="1" si="13"/>
        <v/>
      </c>
      <c r="S33" s="86" t="str">
        <f t="shared" ca="1" si="14"/>
        <v>&lt;-- Hide This Row</v>
      </c>
    </row>
    <row r="34" spans="1:19" ht="15" customHeight="1" x14ac:dyDescent="0.2">
      <c r="A34" s="122">
        <f t="shared" si="15"/>
        <v>28</v>
      </c>
      <c r="B34" s="149" t="str">
        <f t="shared" ca="1" si="2"/>
        <v/>
      </c>
      <c r="C34" s="142" t="str">
        <f t="shared" ca="1" si="3"/>
        <v/>
      </c>
      <c r="D34" s="168" t="str">
        <f t="shared" ca="1" si="4"/>
        <v/>
      </c>
      <c r="E34" s="123" t="str">
        <f t="shared" ca="1" si="5"/>
        <v/>
      </c>
      <c r="F34" s="168" t="str">
        <f t="shared" ca="1" si="6"/>
        <v/>
      </c>
      <c r="G34" s="168" t="str">
        <f t="shared" ca="1" si="7"/>
        <v/>
      </c>
      <c r="H34" s="168" t="str">
        <f t="shared" ca="1" si="8"/>
        <v/>
      </c>
      <c r="I34" s="168" t="str">
        <f t="shared" ca="1" si="9"/>
        <v/>
      </c>
      <c r="J34" s="122">
        <f t="shared" si="16"/>
        <v>28</v>
      </c>
      <c r="K34" s="162" t="str">
        <f t="shared" ca="1" si="0"/>
        <v/>
      </c>
      <c r="L34" s="248" t="str">
        <f t="shared" ca="1" si="1"/>
        <v/>
      </c>
      <c r="M34" s="248"/>
      <c r="N34" s="248"/>
      <c r="O34" s="168" t="str">
        <f t="shared" ca="1" si="10"/>
        <v/>
      </c>
      <c r="P34" s="168" t="str">
        <f t="shared" ca="1" si="11"/>
        <v/>
      </c>
      <c r="Q34" s="168" t="str">
        <f t="shared" ca="1" si="12"/>
        <v/>
      </c>
      <c r="R34" s="123" t="str">
        <f t="shared" ca="1" si="13"/>
        <v/>
      </c>
      <c r="S34" s="86" t="str">
        <f t="shared" ca="1" si="14"/>
        <v>&lt;-- Hide This Row</v>
      </c>
    </row>
    <row r="35" spans="1:19" ht="15" customHeight="1" x14ac:dyDescent="0.2">
      <c r="A35" s="128">
        <f t="shared" si="15"/>
        <v>29</v>
      </c>
      <c r="B35" s="150" t="str">
        <f t="shared" ca="1" si="2"/>
        <v/>
      </c>
      <c r="C35" s="143" t="str">
        <f t="shared" ca="1" si="3"/>
        <v/>
      </c>
      <c r="D35" s="169" t="str">
        <f t="shared" ca="1" si="4"/>
        <v/>
      </c>
      <c r="E35" s="129" t="str">
        <f t="shared" ca="1" si="5"/>
        <v/>
      </c>
      <c r="F35" s="169" t="str">
        <f t="shared" ca="1" si="6"/>
        <v/>
      </c>
      <c r="G35" s="169" t="str">
        <f t="shared" ca="1" si="7"/>
        <v/>
      </c>
      <c r="H35" s="169" t="str">
        <f t="shared" ca="1" si="8"/>
        <v/>
      </c>
      <c r="I35" s="169" t="str">
        <f t="shared" ca="1" si="9"/>
        <v/>
      </c>
      <c r="J35" s="128">
        <f t="shared" si="16"/>
        <v>29</v>
      </c>
      <c r="K35" s="163" t="str">
        <f t="shared" ca="1" si="0"/>
        <v/>
      </c>
      <c r="L35" s="249" t="str">
        <f t="shared" ca="1" si="1"/>
        <v/>
      </c>
      <c r="M35" s="249"/>
      <c r="N35" s="249"/>
      <c r="O35" s="169" t="str">
        <f t="shared" ca="1" si="10"/>
        <v/>
      </c>
      <c r="P35" s="169" t="str">
        <f t="shared" ca="1" si="11"/>
        <v/>
      </c>
      <c r="Q35" s="169" t="str">
        <f t="shared" ca="1" si="12"/>
        <v/>
      </c>
      <c r="R35" s="129" t="str">
        <f t="shared" ca="1" si="13"/>
        <v/>
      </c>
      <c r="S35" s="86" t="str">
        <f t="shared" ca="1" si="14"/>
        <v>&lt;-- Hide This Row</v>
      </c>
    </row>
    <row r="36" spans="1:19" ht="15" customHeight="1" x14ac:dyDescent="0.2">
      <c r="A36" s="124">
        <f t="shared" si="15"/>
        <v>30</v>
      </c>
      <c r="B36" s="151" t="str">
        <f t="shared" ca="1" si="2"/>
        <v/>
      </c>
      <c r="C36" s="144" t="str">
        <f t="shared" ca="1" si="3"/>
        <v/>
      </c>
      <c r="D36" s="168" t="str">
        <f t="shared" ca="1" si="4"/>
        <v/>
      </c>
      <c r="E36" s="125" t="str">
        <f t="shared" ca="1" si="5"/>
        <v/>
      </c>
      <c r="F36" s="168" t="str">
        <f t="shared" ca="1" si="6"/>
        <v/>
      </c>
      <c r="G36" s="168" t="str">
        <f t="shared" ca="1" si="7"/>
        <v/>
      </c>
      <c r="H36" s="168" t="str">
        <f t="shared" ca="1" si="8"/>
        <v/>
      </c>
      <c r="I36" s="168" t="str">
        <f t="shared" ref="I36" ca="1" si="17">IFERROR(IF(B36="","",INDIRECT("'("&amp;A36&amp;")'!E59")),"")</f>
        <v/>
      </c>
      <c r="J36" s="124">
        <f t="shared" si="16"/>
        <v>30</v>
      </c>
      <c r="K36" s="164" t="str">
        <f t="shared" ca="1" si="0"/>
        <v/>
      </c>
      <c r="L36" s="254" t="str">
        <f t="shared" ca="1" si="1"/>
        <v/>
      </c>
      <c r="M36" s="254"/>
      <c r="N36" s="254"/>
      <c r="O36" s="168" t="str">
        <f t="shared" ca="1" si="10"/>
        <v/>
      </c>
      <c r="P36" s="168" t="str">
        <f t="shared" ca="1" si="11"/>
        <v/>
      </c>
      <c r="Q36" s="168" t="str">
        <f t="shared" ca="1" si="12"/>
        <v/>
      </c>
      <c r="R36" s="123" t="str">
        <f t="shared" ca="1" si="13"/>
        <v/>
      </c>
      <c r="S36" s="86" t="str">
        <f t="shared" ca="1" si="14"/>
        <v>&lt;-- Hide This Row</v>
      </c>
    </row>
    <row r="37" spans="1:19" ht="15" customHeight="1" x14ac:dyDescent="0.2">
      <c r="A37" s="52" t="s">
        <v>155</v>
      </c>
      <c r="B37" s="64"/>
      <c r="C37" s="145">
        <f t="shared" ref="C37:I37" ca="1" si="18">SUM(C2:C36)</f>
        <v>10080</v>
      </c>
      <c r="D37" s="99">
        <f t="shared" ca="1" si="18"/>
        <v>957.59999999999991</v>
      </c>
      <c r="E37" s="146">
        <f t="shared" ca="1" si="18"/>
        <v>30.239999999999995</v>
      </c>
      <c r="F37" s="100">
        <f t="shared" ca="1" si="18"/>
        <v>211.67999999999995</v>
      </c>
      <c r="G37" s="99">
        <f t="shared" ca="1" si="18"/>
        <v>33.704444444444448</v>
      </c>
      <c r="H37" s="99">
        <f t="shared" ca="1" si="18"/>
        <v>132.33333333333334</v>
      </c>
      <c r="I37" s="99">
        <f t="shared" ca="1" si="18"/>
        <v>1335.3177777777778</v>
      </c>
      <c r="J37" s="52" t="s">
        <v>155</v>
      </c>
      <c r="K37" s="165"/>
      <c r="L37" s="253"/>
      <c r="M37" s="253"/>
      <c r="N37" s="253"/>
      <c r="O37" s="101">
        <f ca="1">SUM(O2:O36)</f>
        <v>5201</v>
      </c>
      <c r="P37" s="101">
        <f ca="1">SUM(P2:P36)</f>
        <v>2100</v>
      </c>
      <c r="Q37" s="101">
        <f ca="1">SUM(Q2:Q36)</f>
        <v>7301</v>
      </c>
      <c r="R37" s="152">
        <f ca="1">Q37/I37</f>
        <v>5.467612370255603</v>
      </c>
    </row>
    <row r="38" spans="1:19" ht="15" customHeight="1" x14ac:dyDescent="0.2">
      <c r="A38" s="43"/>
      <c r="B38" s="43"/>
      <c r="C38" s="43"/>
      <c r="D38" s="43"/>
      <c r="E38" s="43"/>
      <c r="F38" s="43"/>
      <c r="G38" s="43"/>
      <c r="H38" s="43"/>
      <c r="I38" s="43"/>
      <c r="J38" s="102"/>
      <c r="K38" s="102"/>
      <c r="L38" s="102"/>
      <c r="M38" s="102"/>
      <c r="N38" s="102"/>
      <c r="O38" s="102"/>
      <c r="P38" s="102"/>
      <c r="Q38" s="102"/>
      <c r="R38" s="102"/>
    </row>
    <row r="39" spans="1:19" ht="15" customHeight="1" x14ac:dyDescent="0.2">
      <c r="A39" s="43"/>
      <c r="B39" s="43"/>
      <c r="C39" s="43"/>
      <c r="D39" s="43"/>
      <c r="E39" s="43"/>
      <c r="F39" s="43"/>
      <c r="G39" s="43"/>
      <c r="H39" s="43"/>
      <c r="I39" s="43"/>
      <c r="J39" s="102"/>
      <c r="K39" s="102"/>
      <c r="L39" s="102"/>
      <c r="M39" s="102"/>
      <c r="N39" s="102"/>
      <c r="O39" s="102"/>
      <c r="P39" s="102"/>
      <c r="Q39" s="102"/>
      <c r="R39" s="102"/>
    </row>
    <row r="40" spans="1:19" ht="15" customHeight="1" x14ac:dyDescent="0.2">
      <c r="A40" s="43"/>
      <c r="B40" s="43"/>
      <c r="C40" s="66"/>
      <c r="D40" s="43"/>
      <c r="E40" s="43"/>
      <c r="F40" s="43"/>
      <c r="G40" s="43"/>
      <c r="H40" s="43"/>
      <c r="I40" s="43"/>
      <c r="J40" s="102"/>
      <c r="K40" s="102"/>
      <c r="L40" s="102"/>
      <c r="M40" s="102"/>
      <c r="N40" s="102"/>
      <c r="O40" s="102"/>
      <c r="P40" s="102"/>
      <c r="Q40" s="102"/>
      <c r="R40" s="102"/>
    </row>
    <row r="41" spans="1:19" ht="15" customHeight="1" x14ac:dyDescent="0.2">
      <c r="A41" s="43"/>
      <c r="B41" s="43"/>
      <c r="C41" s="43"/>
      <c r="D41" s="43"/>
      <c r="E41" s="43"/>
      <c r="F41" s="43"/>
      <c r="G41" s="43"/>
      <c r="H41" s="43"/>
      <c r="I41" s="43"/>
      <c r="J41" s="102"/>
      <c r="K41" s="102"/>
      <c r="L41" s="102"/>
      <c r="M41" s="102"/>
      <c r="N41" s="102"/>
      <c r="O41" s="102"/>
      <c r="P41" s="102"/>
      <c r="Q41" s="102"/>
      <c r="R41" s="102"/>
    </row>
    <row r="42" spans="1:19" ht="15" customHeight="1" x14ac:dyDescent="0.2">
      <c r="A42" s="43"/>
      <c r="B42" s="43"/>
      <c r="C42" s="43"/>
      <c r="D42" s="43"/>
      <c r="E42" s="43"/>
      <c r="F42" s="43"/>
      <c r="G42" s="43"/>
      <c r="H42" s="43"/>
      <c r="I42" s="43"/>
      <c r="J42" s="102"/>
      <c r="K42" s="102"/>
      <c r="L42" s="102"/>
      <c r="M42" s="102"/>
      <c r="N42" s="102"/>
      <c r="O42" s="102"/>
      <c r="P42" s="102"/>
      <c r="Q42" s="102"/>
      <c r="R42" s="102"/>
    </row>
    <row r="43" spans="1:19" ht="15" customHeight="1" x14ac:dyDescent="0.2">
      <c r="A43" s="43"/>
      <c r="B43" s="43"/>
      <c r="C43" s="43"/>
      <c r="D43" s="43"/>
      <c r="E43" s="43"/>
      <c r="F43" s="43"/>
      <c r="G43" s="43"/>
      <c r="H43" s="43"/>
      <c r="I43" s="43"/>
      <c r="J43" s="102"/>
      <c r="K43" s="102"/>
      <c r="L43" s="102"/>
      <c r="M43" s="102"/>
      <c r="N43" s="102"/>
      <c r="O43" s="102"/>
      <c r="P43" s="102"/>
      <c r="Q43" s="102"/>
      <c r="R43" s="102"/>
    </row>
    <row r="44" spans="1:19" ht="15" customHeight="1" x14ac:dyDescent="0.2">
      <c r="A44" s="43"/>
      <c r="B44" s="43"/>
      <c r="C44" s="43"/>
      <c r="D44" s="43"/>
      <c r="E44" s="43"/>
      <c r="F44" s="43"/>
      <c r="G44" s="43"/>
      <c r="H44" s="43"/>
      <c r="I44" s="43"/>
      <c r="J44" s="102"/>
      <c r="K44" s="102"/>
      <c r="L44" s="102"/>
      <c r="M44" s="102"/>
      <c r="N44" s="102"/>
      <c r="O44" s="102"/>
      <c r="P44" s="102"/>
      <c r="Q44" s="102"/>
      <c r="R44" s="102"/>
    </row>
    <row r="45" spans="1:19" ht="15" customHeight="1" x14ac:dyDescent="0.2">
      <c r="A45" s="43"/>
      <c r="B45" s="43"/>
      <c r="C45" s="43"/>
      <c r="D45" s="43"/>
      <c r="E45" s="43"/>
      <c r="F45" s="43"/>
      <c r="G45" s="43"/>
      <c r="H45" s="43"/>
      <c r="I45" s="43"/>
      <c r="J45" s="102"/>
      <c r="K45" s="102"/>
      <c r="L45" s="102"/>
      <c r="M45" s="102"/>
      <c r="N45" s="102"/>
      <c r="O45" s="102"/>
      <c r="P45" s="102"/>
      <c r="Q45" s="102"/>
      <c r="R45" s="102"/>
    </row>
    <row r="46" spans="1:19" ht="15" customHeight="1" x14ac:dyDescent="0.2">
      <c r="A46" s="43"/>
      <c r="B46" s="43"/>
      <c r="C46" s="43"/>
      <c r="D46" s="43"/>
      <c r="E46" s="43"/>
      <c r="F46" s="43"/>
      <c r="G46" s="43"/>
      <c r="H46" s="43"/>
      <c r="I46" s="43"/>
      <c r="J46" s="102"/>
      <c r="K46" s="102"/>
      <c r="L46" s="102"/>
      <c r="M46" s="102"/>
      <c r="N46" s="102"/>
      <c r="O46" s="102"/>
      <c r="P46" s="102"/>
      <c r="Q46" s="102"/>
      <c r="R46" s="102"/>
    </row>
    <row r="47" spans="1:19" ht="15" customHeight="1" x14ac:dyDescent="0.2">
      <c r="A47" s="43"/>
      <c r="B47" s="43"/>
      <c r="C47" s="43"/>
      <c r="D47" s="43"/>
      <c r="E47" s="43"/>
      <c r="F47" s="43"/>
      <c r="G47" s="43"/>
      <c r="H47" s="43"/>
      <c r="I47" s="43"/>
      <c r="J47" s="245"/>
      <c r="K47" s="243"/>
      <c r="L47" s="243"/>
      <c r="M47" s="65"/>
      <c r="N47" s="245"/>
      <c r="O47" s="245"/>
      <c r="P47" s="245"/>
      <c r="Q47" s="245"/>
      <c r="R47" s="51"/>
    </row>
    <row r="48" spans="1:19" ht="15" customHeight="1" x14ac:dyDescent="0.2">
      <c r="A48" s="43"/>
      <c r="B48" s="43"/>
      <c r="C48" s="43"/>
      <c r="D48" s="43"/>
      <c r="E48" s="43"/>
      <c r="F48" s="43"/>
      <c r="G48" s="43"/>
      <c r="H48" s="43"/>
      <c r="I48" s="43"/>
      <c r="J48" s="245"/>
      <c r="K48" s="243"/>
      <c r="L48" s="243"/>
      <c r="M48" s="65"/>
      <c r="N48" s="251"/>
      <c r="O48" s="245"/>
      <c r="P48" s="245"/>
      <c r="Q48" s="245"/>
      <c r="R48" s="51"/>
    </row>
    <row r="49" spans="1:18" ht="15" customHeight="1" x14ac:dyDescent="0.2">
      <c r="A49" s="43"/>
      <c r="B49" s="43"/>
      <c r="C49" s="43"/>
      <c r="D49" s="43"/>
      <c r="E49" s="43"/>
      <c r="F49" s="43"/>
      <c r="G49" s="43"/>
      <c r="H49" s="43"/>
      <c r="I49" s="43"/>
      <c r="J49" s="245"/>
      <c r="K49" s="250"/>
      <c r="L49" s="250"/>
      <c r="M49" s="63"/>
      <c r="N49" s="63"/>
      <c r="O49" s="63"/>
      <c r="P49" s="63"/>
      <c r="Q49" s="63"/>
      <c r="R49" s="51"/>
    </row>
    <row r="50" spans="1:18" ht="15" customHeight="1" x14ac:dyDescent="0.2">
      <c r="A50" s="43"/>
      <c r="B50" s="43"/>
      <c r="C50" s="43"/>
      <c r="D50" s="43"/>
      <c r="E50" s="43"/>
      <c r="F50" s="43"/>
      <c r="G50" s="43"/>
      <c r="H50" s="43"/>
      <c r="I50" s="43"/>
      <c r="J50" s="102"/>
      <c r="K50" s="51"/>
      <c r="L50" s="51"/>
      <c r="M50" s="51"/>
      <c r="N50" s="51"/>
      <c r="O50" s="51"/>
      <c r="P50" s="51"/>
      <c r="Q50" s="51"/>
      <c r="R50" s="51"/>
    </row>
    <row r="51" spans="1:18" ht="15" customHeight="1" x14ac:dyDescent="0.2">
      <c r="A51" s="43"/>
      <c r="B51" s="43"/>
      <c r="C51" s="43"/>
      <c r="D51" s="43"/>
      <c r="E51" s="43"/>
      <c r="F51" s="43"/>
      <c r="G51" s="43"/>
      <c r="H51" s="43"/>
      <c r="I51" s="43"/>
      <c r="J51" s="102"/>
      <c r="K51" s="51"/>
      <c r="L51" s="51"/>
      <c r="M51" s="51"/>
      <c r="N51" s="51"/>
      <c r="O51" s="51"/>
      <c r="P51" s="51"/>
      <c r="Q51" s="51"/>
      <c r="R51" s="51"/>
    </row>
    <row r="52" spans="1:18" ht="15" customHeight="1" x14ac:dyDescent="0.2">
      <c r="A52" s="43"/>
      <c r="B52" s="43"/>
      <c r="C52" s="43"/>
      <c r="D52" s="43"/>
      <c r="E52" s="43"/>
      <c r="F52" s="43"/>
      <c r="G52" s="43"/>
      <c r="H52" s="43"/>
      <c r="I52" s="43"/>
      <c r="J52" s="102"/>
      <c r="K52" s="51"/>
      <c r="L52" s="51"/>
      <c r="M52" s="51"/>
      <c r="N52" s="51"/>
      <c r="O52" s="51"/>
      <c r="P52" s="51"/>
      <c r="Q52" s="51"/>
      <c r="R52" s="51"/>
    </row>
    <row r="53" spans="1:18" ht="15" customHeight="1" x14ac:dyDescent="0.2">
      <c r="A53" s="43"/>
      <c r="B53" s="43"/>
      <c r="C53" s="43"/>
      <c r="D53" s="43"/>
      <c r="E53" s="43"/>
      <c r="F53" s="43"/>
      <c r="G53" s="43"/>
      <c r="H53" s="43"/>
      <c r="I53" s="43"/>
      <c r="J53" s="102"/>
      <c r="K53" s="51"/>
      <c r="L53" s="51"/>
      <c r="M53" s="51"/>
      <c r="N53" s="51"/>
      <c r="O53" s="51"/>
      <c r="P53" s="51"/>
      <c r="Q53" s="51"/>
      <c r="R53" s="51"/>
    </row>
    <row r="54" spans="1:18" ht="15" customHeight="1" x14ac:dyDescent="0.2">
      <c r="A54" s="43"/>
      <c r="B54" s="43"/>
      <c r="C54" s="43"/>
      <c r="D54" s="43"/>
      <c r="E54" s="43"/>
      <c r="F54" s="43"/>
      <c r="G54" s="43"/>
      <c r="H54" s="43"/>
      <c r="I54" s="43"/>
      <c r="J54" s="102"/>
      <c r="K54" s="51"/>
      <c r="L54" s="51"/>
      <c r="M54" s="51"/>
      <c r="N54" s="51"/>
      <c r="O54" s="51"/>
      <c r="P54" s="51"/>
      <c r="Q54" s="51"/>
      <c r="R54" s="51"/>
    </row>
    <row r="55" spans="1:18" ht="15" customHeight="1" x14ac:dyDescent="0.2">
      <c r="A55" s="43"/>
      <c r="B55" s="43"/>
      <c r="C55" s="43"/>
      <c r="D55" s="43"/>
      <c r="E55" s="43"/>
      <c r="F55" s="43"/>
      <c r="G55" s="43"/>
      <c r="H55" s="43"/>
      <c r="I55" s="43"/>
      <c r="J55" s="102"/>
      <c r="K55" s="51"/>
      <c r="L55" s="51"/>
      <c r="M55" s="51"/>
      <c r="N55" s="51"/>
      <c r="O55" s="51"/>
      <c r="P55" s="51"/>
      <c r="Q55" s="51"/>
      <c r="R55" s="51"/>
    </row>
    <row r="56" spans="1:18" ht="15" customHeight="1" x14ac:dyDescent="0.2">
      <c r="A56" s="43"/>
      <c r="B56" s="43"/>
      <c r="C56" s="43"/>
      <c r="D56" s="43"/>
      <c r="E56" s="43"/>
      <c r="F56" s="43"/>
      <c r="G56" s="43"/>
      <c r="H56" s="43"/>
      <c r="I56" s="43"/>
      <c r="J56" s="102"/>
      <c r="K56" s="51"/>
      <c r="L56" s="51"/>
      <c r="M56" s="51"/>
      <c r="N56" s="51"/>
      <c r="O56" s="51"/>
      <c r="P56" s="51"/>
      <c r="Q56" s="51"/>
      <c r="R56" s="51"/>
    </row>
    <row r="57" spans="1:18" ht="15" customHeight="1" x14ac:dyDescent="0.2">
      <c r="A57" s="43"/>
      <c r="B57" s="43"/>
      <c r="C57" s="43"/>
      <c r="D57" s="43"/>
      <c r="E57" s="43"/>
      <c r="F57" s="43"/>
      <c r="G57" s="43"/>
      <c r="H57" s="43"/>
      <c r="I57" s="43"/>
      <c r="J57" s="102"/>
      <c r="K57" s="51"/>
      <c r="L57" s="51"/>
      <c r="M57" s="51"/>
      <c r="N57" s="51"/>
      <c r="O57" s="51"/>
      <c r="P57" s="51"/>
      <c r="Q57" s="51"/>
      <c r="R57" s="51"/>
    </row>
    <row r="58" spans="1:18" ht="15" customHeight="1" x14ac:dyDescent="0.2">
      <c r="A58" s="43"/>
      <c r="B58" s="43"/>
      <c r="C58" s="43"/>
      <c r="D58" s="43"/>
      <c r="E58" s="43"/>
      <c r="F58" s="43"/>
      <c r="G58" s="43"/>
      <c r="H58" s="43"/>
      <c r="I58" s="43"/>
      <c r="J58" s="102"/>
      <c r="K58" s="51"/>
      <c r="L58" s="51"/>
      <c r="M58" s="51"/>
      <c r="N58" s="51"/>
      <c r="O58" s="51"/>
      <c r="P58" s="51"/>
      <c r="Q58" s="51"/>
      <c r="R58" s="51"/>
    </row>
    <row r="59" spans="1:18" ht="15" customHeight="1" x14ac:dyDescent="0.2">
      <c r="A59" s="43"/>
      <c r="B59" s="43"/>
      <c r="C59" s="43"/>
      <c r="D59" s="43"/>
      <c r="E59" s="43"/>
      <c r="F59" s="43"/>
      <c r="G59" s="43"/>
      <c r="H59" s="43"/>
      <c r="I59" s="43"/>
      <c r="J59" s="102"/>
      <c r="K59" s="51"/>
      <c r="L59" s="51"/>
      <c r="M59" s="51"/>
      <c r="N59" s="51"/>
      <c r="O59" s="51"/>
      <c r="P59" s="51"/>
      <c r="Q59" s="51"/>
      <c r="R59" s="51"/>
    </row>
    <row r="60" spans="1:18" ht="15" customHeight="1" x14ac:dyDescent="0.2">
      <c r="A60" s="43"/>
      <c r="B60" s="43"/>
      <c r="C60" s="43"/>
      <c r="D60" s="43"/>
      <c r="E60" s="43"/>
      <c r="F60" s="43"/>
      <c r="G60" s="43"/>
      <c r="H60" s="43"/>
      <c r="I60" s="43"/>
      <c r="J60" s="102"/>
      <c r="K60" s="51"/>
      <c r="L60" s="51"/>
      <c r="M60" s="51"/>
      <c r="N60" s="51"/>
      <c r="O60" s="51"/>
      <c r="P60" s="51"/>
      <c r="Q60" s="51"/>
      <c r="R60" s="51"/>
    </row>
    <row r="61" spans="1:18" ht="15" customHeight="1" x14ac:dyDescent="0.2">
      <c r="A61" s="43"/>
      <c r="B61" s="43"/>
      <c r="C61" s="43"/>
      <c r="D61" s="43"/>
      <c r="E61" s="43"/>
      <c r="F61" s="43"/>
      <c r="G61" s="43"/>
      <c r="H61" s="43"/>
      <c r="I61" s="43"/>
      <c r="J61" s="102"/>
      <c r="K61" s="51"/>
      <c r="L61" s="51"/>
      <c r="M61" s="51"/>
      <c r="N61" s="51"/>
      <c r="O61" s="51"/>
      <c r="P61" s="51"/>
      <c r="Q61" s="51"/>
      <c r="R61" s="51"/>
    </row>
    <row r="62" spans="1:18" ht="15" customHeight="1" x14ac:dyDescent="0.2">
      <c r="A62" s="43"/>
      <c r="B62" s="43"/>
      <c r="C62" s="43"/>
      <c r="D62" s="43"/>
      <c r="E62" s="43"/>
      <c r="F62" s="43"/>
      <c r="G62" s="43"/>
      <c r="H62" s="43"/>
      <c r="I62" s="43"/>
      <c r="J62" s="102"/>
      <c r="K62" s="51"/>
      <c r="L62" s="51"/>
      <c r="M62" s="51"/>
      <c r="N62" s="51"/>
      <c r="O62" s="51"/>
      <c r="P62" s="51"/>
      <c r="Q62" s="51"/>
      <c r="R62" s="51"/>
    </row>
    <row r="63" spans="1:18" ht="15" customHeight="1" x14ac:dyDescent="0.2"/>
    <row r="64" spans="1:18"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sheetData>
  <sheetProtection selectLockedCells="1"/>
  <mergeCells count="58">
    <mergeCell ref="S2:AA4"/>
    <mergeCell ref="L23:N23"/>
    <mergeCell ref="L4:N6"/>
    <mergeCell ref="J4:J6"/>
    <mergeCell ref="L35:N35"/>
    <mergeCell ref="J1:R1"/>
    <mergeCell ref="J2:R2"/>
    <mergeCell ref="K4:K6"/>
    <mergeCell ref="P4:P5"/>
    <mergeCell ref="Q4:Q5"/>
    <mergeCell ref="R4:R5"/>
    <mergeCell ref="L10:N10"/>
    <mergeCell ref="L22:N22"/>
    <mergeCell ref="L21:N21"/>
    <mergeCell ref="L20:N20"/>
    <mergeCell ref="L29:N29"/>
    <mergeCell ref="L27:N27"/>
    <mergeCell ref="L32:N32"/>
    <mergeCell ref="L33:N33"/>
    <mergeCell ref="L34:N34"/>
    <mergeCell ref="L36:N36"/>
    <mergeCell ref="L24:N24"/>
    <mergeCell ref="L28:N28"/>
    <mergeCell ref="L14:N14"/>
    <mergeCell ref="L13:N13"/>
    <mergeCell ref="L12:N12"/>
    <mergeCell ref="L11:N11"/>
    <mergeCell ref="L19:N19"/>
    <mergeCell ref="L18:N18"/>
    <mergeCell ref="L17:N17"/>
    <mergeCell ref="L16:N16"/>
    <mergeCell ref="L15:N15"/>
    <mergeCell ref="J3:R3"/>
    <mergeCell ref="L7:N7"/>
    <mergeCell ref="L8:N8"/>
    <mergeCell ref="L9:N9"/>
    <mergeCell ref="J47:J49"/>
    <mergeCell ref="K47:L49"/>
    <mergeCell ref="N47:N48"/>
    <mergeCell ref="O47:O48"/>
    <mergeCell ref="P47:P48"/>
    <mergeCell ref="Q47:Q48"/>
    <mergeCell ref="L30:N30"/>
    <mergeCell ref="L31:N31"/>
    <mergeCell ref="L26:N26"/>
    <mergeCell ref="L25:N25"/>
    <mergeCell ref="O4:O5"/>
    <mergeCell ref="L37:N37"/>
    <mergeCell ref="A2:I2"/>
    <mergeCell ref="A1:I1"/>
    <mergeCell ref="A3:I3"/>
    <mergeCell ref="G4:G5"/>
    <mergeCell ref="H4:H5"/>
    <mergeCell ref="I4:I5"/>
    <mergeCell ref="A4:A6"/>
    <mergeCell ref="B4:B6"/>
    <mergeCell ref="C4:D5"/>
    <mergeCell ref="E4:F5"/>
  </mergeCells>
  <printOptions horizontalCentered="1"/>
  <pageMargins left="0.25" right="0.25" top="0.5" bottom="0.75" header="0.3" footer="0.3"/>
  <pageSetup orientation="portrait"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303"/>
  <sheetViews>
    <sheetView showGridLines="0" view="pageBreakPreview" topLeftCell="A55" zoomScaleNormal="100" zoomScaleSheetLayoutView="100" workbookViewId="0">
      <selection activeCell="H72" sqref="H72"/>
    </sheetView>
  </sheetViews>
  <sheetFormatPr defaultRowHeight="12.75" x14ac:dyDescent="0.2"/>
  <cols>
    <col min="1" max="1" width="31.6640625" style="3" customWidth="1"/>
    <col min="2" max="2" width="11.5" style="3" customWidth="1"/>
    <col min="3" max="3" width="16.83203125" style="3" customWidth="1"/>
    <col min="4" max="4" width="23.6640625" style="3" customWidth="1"/>
    <col min="5" max="5" width="18" style="3" customWidth="1"/>
    <col min="6" max="6" width="6.6640625" style="3" customWidth="1"/>
    <col min="7" max="7" width="31.6640625" style="3" customWidth="1"/>
    <col min="8" max="8" width="6.6640625" style="3" customWidth="1"/>
    <col min="9" max="10" width="21.6640625" style="3" customWidth="1"/>
    <col min="11" max="11" width="20" style="3" customWidth="1"/>
    <col min="12" max="12" width="6.6640625" style="3" customWidth="1"/>
    <col min="13" max="16384" width="9.33203125" style="3"/>
  </cols>
  <sheetData>
    <row r="1" spans="1:48" s="4" customFormat="1" ht="30" customHeight="1" x14ac:dyDescent="0.2">
      <c r="A1" s="234" t="str">
        <f>"AR No. "&amp;'Report Data Export'!A3&amp;" - Lighting Analysis"</f>
        <v>AR No. # - Lighting Analysis</v>
      </c>
      <c r="B1" s="234"/>
      <c r="C1" s="234"/>
      <c r="D1" s="234"/>
      <c r="E1" s="234"/>
      <c r="F1" s="234"/>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5" customHeight="1" x14ac:dyDescent="0.2">
      <c r="A2" s="257" t="str">
        <f>Narrative!A2</f>
        <v>Lighting Analysis Template Apr. 2014a, style 2013b</v>
      </c>
      <c r="B2" s="257"/>
      <c r="C2" s="257"/>
      <c r="D2" s="257"/>
      <c r="E2" s="257"/>
      <c r="F2" s="257"/>
      <c r="M2" s="121"/>
      <c r="N2" s="121"/>
      <c r="O2" s="121"/>
      <c r="P2" s="121"/>
      <c r="Q2" s="121"/>
      <c r="R2" s="121"/>
      <c r="S2" s="121"/>
      <c r="T2" s="121"/>
      <c r="U2" s="121"/>
      <c r="V2" s="121"/>
      <c r="W2" s="121"/>
      <c r="X2" s="121"/>
      <c r="Y2" s="121"/>
      <c r="Z2" s="121"/>
      <c r="AA2" s="121"/>
      <c r="AB2" s="121"/>
      <c r="AC2" s="121"/>
      <c r="AD2" s="121"/>
      <c r="AE2" s="121"/>
      <c r="AF2" s="121"/>
    </row>
    <row r="3" spans="1:48" ht="15" customHeight="1" x14ac:dyDescent="0.2">
      <c r="A3" s="6" t="s">
        <v>276</v>
      </c>
      <c r="B3" s="6"/>
      <c r="C3" s="6"/>
      <c r="D3" s="6"/>
      <c r="E3" s="6"/>
      <c r="F3" s="6"/>
      <c r="M3" s="50"/>
    </row>
    <row r="4" spans="1:48" ht="15" customHeight="1" x14ac:dyDescent="0.2">
      <c r="A4" s="51" t="s">
        <v>322</v>
      </c>
      <c r="B4" s="1"/>
      <c r="C4" s="261" t="s">
        <v>374</v>
      </c>
      <c r="D4" s="261"/>
      <c r="E4" s="76"/>
      <c r="F4" s="76"/>
      <c r="M4" s="50"/>
    </row>
    <row r="5" spans="1:48" ht="15" customHeight="1" x14ac:dyDescent="0.2">
      <c r="A5" s="51" t="s">
        <v>277</v>
      </c>
      <c r="B5" s="1"/>
      <c r="C5" s="261" t="s">
        <v>381</v>
      </c>
      <c r="D5" s="261"/>
      <c r="E5" s="76"/>
      <c r="F5" s="76"/>
    </row>
    <row r="6" spans="1:48" ht="15" customHeight="1" x14ac:dyDescent="0.2">
      <c r="A6" s="68" t="s">
        <v>325</v>
      </c>
      <c r="B6" s="1"/>
      <c r="C6" s="70">
        <v>50</v>
      </c>
      <c r="D6" s="49" t="s">
        <v>301</v>
      </c>
      <c r="E6" s="76"/>
      <c r="F6" s="76"/>
      <c r="M6" s="50"/>
    </row>
    <row r="7" spans="1:48" ht="15" customHeight="1" x14ac:dyDescent="0.25">
      <c r="A7" s="51" t="s">
        <v>278</v>
      </c>
      <c r="B7" s="49" t="s">
        <v>456</v>
      </c>
      <c r="C7" s="116">
        <v>9.5000000000000001E-2</v>
      </c>
      <c r="D7" s="3" t="s">
        <v>279</v>
      </c>
      <c r="M7" s="50"/>
    </row>
    <row r="8" spans="1:48" ht="15" customHeight="1" x14ac:dyDescent="0.25">
      <c r="A8" s="51" t="s">
        <v>162</v>
      </c>
      <c r="B8" s="49" t="s">
        <v>455</v>
      </c>
      <c r="C8" s="116">
        <v>7</v>
      </c>
      <c r="D8" s="3" t="s">
        <v>280</v>
      </c>
      <c r="M8" s="53"/>
    </row>
    <row r="9" spans="1:48" ht="15" customHeight="1" x14ac:dyDescent="0.2">
      <c r="A9" s="89" t="s">
        <v>358</v>
      </c>
      <c r="B9" s="1"/>
      <c r="C9" s="59" t="s">
        <v>359</v>
      </c>
      <c r="M9" s="50"/>
    </row>
    <row r="10" spans="1:48" ht="15" customHeight="1" x14ac:dyDescent="0.2">
      <c r="M10" s="50"/>
    </row>
    <row r="11" spans="1:48" ht="15" customHeight="1" x14ac:dyDescent="0.2">
      <c r="A11" s="6" t="s">
        <v>152</v>
      </c>
      <c r="B11" s="6"/>
      <c r="C11" s="97" t="s">
        <v>298</v>
      </c>
      <c r="D11" s="97" t="s">
        <v>281</v>
      </c>
      <c r="E11" s="97" t="s">
        <v>299</v>
      </c>
      <c r="F11" s="77" t="s">
        <v>8</v>
      </c>
    </row>
    <row r="12" spans="1:48" ht="15" customHeight="1" x14ac:dyDescent="0.2">
      <c r="A12" s="11" t="s">
        <v>303</v>
      </c>
      <c r="B12" s="11"/>
      <c r="C12" s="11"/>
      <c r="D12" s="11"/>
      <c r="E12" s="11"/>
      <c r="F12" s="11"/>
      <c r="M12" s="50"/>
    </row>
    <row r="13" spans="1:48" ht="15" customHeight="1" x14ac:dyDescent="0.2">
      <c r="A13" s="67" t="s">
        <v>195</v>
      </c>
      <c r="B13" s="262" t="s">
        <v>382</v>
      </c>
      <c r="C13" s="263"/>
      <c r="D13" s="176" t="s">
        <v>383</v>
      </c>
      <c r="E13"/>
      <c r="F13" s="79"/>
      <c r="M13" s="50"/>
    </row>
    <row r="14" spans="1:48" ht="15" customHeight="1" x14ac:dyDescent="0.2">
      <c r="A14" s="51" t="s">
        <v>152</v>
      </c>
      <c r="B14" s="1"/>
      <c r="C14" s="78" t="str">
        <f>IF(B13="","",VLOOKUP(B13,Fixture_Data[#Data],2,FALSE))</f>
        <v>8 ft. General Purpose T12HO</v>
      </c>
      <c r="D14" s="108" t="str">
        <f>IF(D13="","",VLOOKUP(D13,Fixture_Data[#Data],2,FALSE))</f>
        <v>Motion Sensor T5HO</v>
      </c>
      <c r="E14" s="55"/>
      <c r="F14" s="79"/>
      <c r="M14" s="50"/>
    </row>
    <row r="15" spans="1:48" ht="15" customHeight="1" x14ac:dyDescent="0.25">
      <c r="A15" s="51" t="s">
        <v>7</v>
      </c>
      <c r="B15" s="49" t="s">
        <v>419</v>
      </c>
      <c r="C15" s="81">
        <v>20</v>
      </c>
      <c r="D15" s="81">
        <v>20</v>
      </c>
      <c r="E15" s="55" t="str">
        <f>IF(C15-D15=0,"", C15-D15)</f>
        <v/>
      </c>
      <c r="F15" s="79"/>
      <c r="M15" s="50"/>
    </row>
    <row r="16" spans="1:48" ht="15" customHeight="1" x14ac:dyDescent="0.25">
      <c r="A16" s="51" t="s">
        <v>342</v>
      </c>
      <c r="B16" s="49" t="s">
        <v>420</v>
      </c>
      <c r="C16" s="81">
        <v>4000</v>
      </c>
      <c r="D16" s="81">
        <v>4000</v>
      </c>
      <c r="E16" s="55" t="str">
        <f>IF(C16-D16=0,"0", C16-D16)</f>
        <v>0</v>
      </c>
      <c r="F16" s="79" t="s">
        <v>190</v>
      </c>
      <c r="M16" s="50"/>
    </row>
    <row r="17" spans="1:13" ht="15" customHeight="1" x14ac:dyDescent="0.2">
      <c r="A17" s="51" t="s">
        <v>343</v>
      </c>
      <c r="B17" s="49" t="s">
        <v>425</v>
      </c>
      <c r="C17" s="87">
        <v>0.9</v>
      </c>
      <c r="D17" s="87">
        <v>1</v>
      </c>
      <c r="E17" s="88">
        <f t="shared" ref="E17" si="0">IF(C17-D17=0,"", C17-D17)</f>
        <v>-9.9999999999999978E-2</v>
      </c>
      <c r="F17" s="79"/>
      <c r="M17" s="50"/>
    </row>
    <row r="18" spans="1:13" ht="15" customHeight="1" x14ac:dyDescent="0.25">
      <c r="A18" s="102" t="s">
        <v>478</v>
      </c>
      <c r="B18" s="49" t="s">
        <v>487</v>
      </c>
      <c r="C18" s="87">
        <v>0.75</v>
      </c>
      <c r="D18" s="87">
        <v>0.8</v>
      </c>
      <c r="E18" s="88">
        <f t="shared" ref="E18" si="1">IF(C18-D18=0,"", C18-D18)</f>
        <v>-5.0000000000000044E-2</v>
      </c>
      <c r="F18" s="79"/>
      <c r="M18" s="50"/>
    </row>
    <row r="19" spans="1:13" ht="15" customHeight="1" x14ac:dyDescent="0.2">
      <c r="A19" s="11" t="s">
        <v>304</v>
      </c>
      <c r="B19" s="11"/>
      <c r="C19" s="11"/>
      <c r="D19" s="11"/>
      <c r="E19" s="11"/>
      <c r="F19" s="75"/>
      <c r="M19" s="130"/>
    </row>
    <row r="20" spans="1:13" ht="15" customHeight="1" x14ac:dyDescent="0.25">
      <c r="A20" s="51" t="s">
        <v>308</v>
      </c>
      <c r="B20" s="49" t="s">
        <v>421</v>
      </c>
      <c r="C20" s="78">
        <f>IF(B13="","",VLOOKUP(B13,Fixture_Data[],6,FALSE))</f>
        <v>4</v>
      </c>
      <c r="D20" s="78">
        <f>IF(D13="","",VLOOKUP(D13,Fixture_Data[],6,FALSE))</f>
        <v>4</v>
      </c>
      <c r="E20" s="78" t="str">
        <f>IFERROR(IF(C20-D20=0,"", C20-D20),"")</f>
        <v/>
      </c>
      <c r="F20" s="69"/>
      <c r="M20" s="50"/>
    </row>
    <row r="21" spans="1:13" ht="15" customHeight="1" x14ac:dyDescent="0.25">
      <c r="A21" s="51" t="s">
        <v>432</v>
      </c>
      <c r="B21" s="49" t="s">
        <v>434</v>
      </c>
      <c r="C21" s="78">
        <f>IF(B13="","",C15*C20)</f>
        <v>80</v>
      </c>
      <c r="D21" s="78">
        <f>IF(D13="","",D15*D20)</f>
        <v>80</v>
      </c>
      <c r="E21" s="78" t="str">
        <f t="shared" ref="E21:E41" si="2">IF(C21-D21=0,"", C21-D21)</f>
        <v/>
      </c>
      <c r="F21" s="69"/>
      <c r="M21" s="50"/>
    </row>
    <row r="22" spans="1:13" ht="15" customHeight="1" x14ac:dyDescent="0.25">
      <c r="A22" s="51" t="s">
        <v>431</v>
      </c>
      <c r="B22" s="49" t="s">
        <v>444</v>
      </c>
      <c r="C22" s="78">
        <f>IF(B13="","",VLOOKUP(B13,Fixture_Data[],9,FALSE))</f>
        <v>12000</v>
      </c>
      <c r="D22" s="78">
        <f>IF(D13="","",VLOOKUP(D13,Fixture_Data[],9,FALSE))</f>
        <v>36000</v>
      </c>
      <c r="E22" s="78">
        <f>IF(C22-D22=0,"", D22-C22)</f>
        <v>24000</v>
      </c>
      <c r="F22" s="69" t="s">
        <v>190</v>
      </c>
      <c r="M22" s="50"/>
    </row>
    <row r="23" spans="1:13" ht="15" customHeight="1" x14ac:dyDescent="0.25">
      <c r="A23" s="51" t="s">
        <v>208</v>
      </c>
      <c r="B23" s="49" t="s">
        <v>427</v>
      </c>
      <c r="C23" s="90">
        <f>IF(B13="","",VLOOKUP(B13,Fixture_Data[],16,FALSE))</f>
        <v>1.33</v>
      </c>
      <c r="D23" s="90">
        <f>IF(D13="","",VLOOKUP(D13,Fixture_Data[],16,FALSE))</f>
        <v>0.95</v>
      </c>
      <c r="E23" s="93">
        <f>IF(C23-D23=0,"", C23-D23)</f>
        <v>0.38000000000000012</v>
      </c>
      <c r="F23" s="69"/>
      <c r="M23" s="50"/>
    </row>
    <row r="24" spans="1:13" ht="15" customHeight="1" x14ac:dyDescent="0.25">
      <c r="A24" s="51" t="s">
        <v>345</v>
      </c>
      <c r="B24" s="49" t="s">
        <v>423</v>
      </c>
      <c r="C24" s="78">
        <f>IF(B13="","",VLOOKUP(B13,Fixture_Data[],7,FALSE))</f>
        <v>75</v>
      </c>
      <c r="D24" s="78">
        <f>IF(D13="","",VLOOKUP(D13,Fixture_Data[],7,FALSE))</f>
        <v>51</v>
      </c>
      <c r="E24" s="78">
        <f t="shared" si="2"/>
        <v>24</v>
      </c>
      <c r="F24" s="69" t="s">
        <v>300</v>
      </c>
      <c r="M24" s="50"/>
    </row>
    <row r="25" spans="1:13" ht="15" customHeight="1" x14ac:dyDescent="0.2">
      <c r="A25" s="51" t="s">
        <v>346</v>
      </c>
      <c r="B25" s="49" t="s">
        <v>422</v>
      </c>
      <c r="C25" s="78">
        <f>IF(B13="","",VLOOKUP(B13,Fixture_Data[],8,FALSE))</f>
        <v>6110</v>
      </c>
      <c r="D25" s="78">
        <f>IF(D13="","",VLOOKUP(D13,Fixture_Data[],8,FALSE))</f>
        <v>4700</v>
      </c>
      <c r="E25" s="78">
        <f t="shared" si="2"/>
        <v>1410</v>
      </c>
      <c r="F25" s="69" t="s">
        <v>310</v>
      </c>
    </row>
    <row r="26" spans="1:13" ht="15" customHeight="1" x14ac:dyDescent="0.25">
      <c r="A26" s="51" t="s">
        <v>433</v>
      </c>
      <c r="B26" s="49" t="s">
        <v>435</v>
      </c>
      <c r="C26" s="82">
        <f>IF(B13="","",C16/C22)</f>
        <v>0.33333333333333331</v>
      </c>
      <c r="D26" s="82">
        <f>IF(D13="","",D16/D22)</f>
        <v>0.1111111111111111</v>
      </c>
      <c r="E26" s="82">
        <f t="shared" si="2"/>
        <v>0.22222222222222221</v>
      </c>
      <c r="F26" s="69"/>
    </row>
    <row r="27" spans="1:13" ht="15" customHeight="1" x14ac:dyDescent="0.25">
      <c r="A27" s="51" t="s">
        <v>348</v>
      </c>
      <c r="B27" s="49" t="s">
        <v>437</v>
      </c>
      <c r="C27" s="84">
        <f>IF(B13="","",C21*C26*C23)</f>
        <v>35.466666666666669</v>
      </c>
      <c r="D27" s="84">
        <f>IF(D13="","",D21*D26*D23)</f>
        <v>8.4444444444444446</v>
      </c>
      <c r="E27" s="153">
        <f t="shared" si="2"/>
        <v>27.022222222222226</v>
      </c>
      <c r="F27" s="69"/>
    </row>
    <row r="28" spans="1:13" ht="15" customHeight="1" x14ac:dyDescent="0.25">
      <c r="A28" s="51" t="s">
        <v>349</v>
      </c>
      <c r="B28" s="49" t="s">
        <v>436</v>
      </c>
      <c r="C28" s="84">
        <f>IF(B13="","",C21*C26*Calculation!C21*Calculation!C16)</f>
        <v>133.33333333333331</v>
      </c>
      <c r="D28" s="84">
        <f>IF(D13="","",D21*D26*Calculation!C21*Calculation!C16)</f>
        <v>44.444444444444443</v>
      </c>
      <c r="E28" s="153">
        <f t="shared" si="2"/>
        <v>88.888888888888872</v>
      </c>
      <c r="F28" s="69"/>
    </row>
    <row r="29" spans="1:13" ht="15" customHeight="1" x14ac:dyDescent="0.2">
      <c r="A29" s="11" t="s">
        <v>466</v>
      </c>
      <c r="B29" s="11"/>
      <c r="C29" s="83"/>
      <c r="D29" s="83"/>
      <c r="E29" s="83"/>
      <c r="F29" s="75"/>
    </row>
    <row r="30" spans="1:13" ht="15" customHeight="1" x14ac:dyDescent="0.25">
      <c r="A30" s="51" t="s">
        <v>309</v>
      </c>
      <c r="B30" s="49" t="s">
        <v>424</v>
      </c>
      <c r="C30" s="78">
        <f>IF(B13="","",VLOOKUP(B13,Fixture_Data[],12,FALSE))</f>
        <v>2</v>
      </c>
      <c r="D30" s="78">
        <f>IF(D13="","",VLOOKUP(D13,Fixture_Data[],12,FALSE))</f>
        <v>1</v>
      </c>
      <c r="E30" s="78">
        <f t="shared" si="2"/>
        <v>1</v>
      </c>
      <c r="F30" s="69"/>
      <c r="G30" s="170"/>
    </row>
    <row r="31" spans="1:13" ht="15" customHeight="1" x14ac:dyDescent="0.25">
      <c r="A31" s="51" t="s">
        <v>7</v>
      </c>
      <c r="B31" s="49" t="s">
        <v>438</v>
      </c>
      <c r="C31" s="78">
        <f>IF(B13="","",C30*C15)</f>
        <v>40</v>
      </c>
      <c r="D31" s="78">
        <f>IF(D13="","",D30*D15)</f>
        <v>20</v>
      </c>
      <c r="E31" s="78">
        <f t="shared" si="2"/>
        <v>20</v>
      </c>
      <c r="F31" s="69"/>
    </row>
    <row r="32" spans="1:13" ht="15" customHeight="1" x14ac:dyDescent="0.25">
      <c r="A32" s="51" t="s">
        <v>344</v>
      </c>
      <c r="B32" s="49" t="s">
        <v>449</v>
      </c>
      <c r="C32" s="78">
        <f>IF(B13="","",VLOOKUP(B13,Fixture_Data[],13,FALSE))</f>
        <v>75000</v>
      </c>
      <c r="D32" s="78">
        <f>IF(D13="","",VLOOKUP(D13,Fixture_Data[],13,FALSE))</f>
        <v>72000</v>
      </c>
      <c r="E32" s="78">
        <f t="shared" si="2"/>
        <v>3000</v>
      </c>
      <c r="F32" s="69" t="s">
        <v>190</v>
      </c>
    </row>
    <row r="33" spans="1:7" ht="15" customHeight="1" x14ac:dyDescent="0.25">
      <c r="A33" s="51" t="s">
        <v>209</v>
      </c>
      <c r="B33" s="49" t="s">
        <v>428</v>
      </c>
      <c r="C33" s="90">
        <f>IF(B13="","",VLOOKUP(B13,Fixture_Data[],17,FALSE))</f>
        <v>64.2</v>
      </c>
      <c r="D33" s="90">
        <f>IF(D13="","",VLOOKUP(D13,Fixture_Data[],17,FALSE))</f>
        <v>117.25</v>
      </c>
      <c r="E33" s="90">
        <f t="shared" si="2"/>
        <v>-53.05</v>
      </c>
      <c r="F33" s="69"/>
    </row>
    <row r="34" spans="1:7" ht="15" customHeight="1" x14ac:dyDescent="0.2">
      <c r="A34" s="51" t="s">
        <v>207</v>
      </c>
      <c r="B34" s="1"/>
      <c r="C34" s="82">
        <f>IF(B13="","",VLOOKUP(B13,Fixture_Data[],14,FALSE))</f>
        <v>1</v>
      </c>
      <c r="D34" s="82">
        <f>IF(D13="","",VLOOKUP(D13,Fixture_Data[],14,FALSE))</f>
        <v>1</v>
      </c>
      <c r="E34" s="82" t="str">
        <f t="shared" si="2"/>
        <v/>
      </c>
      <c r="F34" s="69"/>
    </row>
    <row r="35" spans="1:7" ht="15" customHeight="1" x14ac:dyDescent="0.25">
      <c r="A35" s="51" t="s">
        <v>350</v>
      </c>
      <c r="B35" s="49" t="s">
        <v>426</v>
      </c>
      <c r="C35" s="78">
        <f>IF(B13="","",VLOOKUP(B13,Fixture_Data[],10,FALSE))</f>
        <v>330</v>
      </c>
      <c r="D35" s="78">
        <f>IF(D13="","",VLOOKUP(D13,Fixture_Data[],10,FALSE))</f>
        <v>204</v>
      </c>
      <c r="E35" s="78">
        <f t="shared" si="2"/>
        <v>126</v>
      </c>
      <c r="F35" s="69" t="s">
        <v>300</v>
      </c>
      <c r="G35"/>
    </row>
    <row r="36" spans="1:7" ht="15" customHeight="1" x14ac:dyDescent="0.25">
      <c r="A36" s="51" t="s">
        <v>347</v>
      </c>
      <c r="B36" s="49" t="s">
        <v>439</v>
      </c>
      <c r="C36" s="82">
        <f>IF(B13="","",IF(C30=0,0,C16/C32))</f>
        <v>5.3333333333333337E-2</v>
      </c>
      <c r="D36" s="82">
        <f>IF(D13="","",IF(D30=0,0,D16/D32))</f>
        <v>5.5555555555555552E-2</v>
      </c>
      <c r="E36" s="82">
        <f t="shared" si="2"/>
        <v>-2.2222222222222157E-3</v>
      </c>
      <c r="F36" s="69"/>
    </row>
    <row r="37" spans="1:7" ht="15" customHeight="1" x14ac:dyDescent="0.25">
      <c r="A37" s="51" t="s">
        <v>351</v>
      </c>
      <c r="B37" s="49" t="s">
        <v>440</v>
      </c>
      <c r="C37" s="90">
        <f>IF(B13="","",C31*C36*C33)</f>
        <v>136.96</v>
      </c>
      <c r="D37" s="90">
        <f>IF(D13="","",D31*D36*D33)</f>
        <v>130.27777777777777</v>
      </c>
      <c r="E37" s="90">
        <f t="shared" si="2"/>
        <v>6.6822222222222365</v>
      </c>
      <c r="F37" s="69"/>
    </row>
    <row r="38" spans="1:7" ht="15" customHeight="1" x14ac:dyDescent="0.25">
      <c r="A38" s="51" t="s">
        <v>349</v>
      </c>
      <c r="B38" s="49" t="s">
        <v>441</v>
      </c>
      <c r="C38" s="90">
        <f>IF(B13="","",C31*C36*Calculation!C17*Calculation!C20)</f>
        <v>90.666666666666671</v>
      </c>
      <c r="D38" s="90">
        <f>IF(D13="","",D31*D36*Calculation!C17*Calculation!C20)</f>
        <v>47.222222222222221</v>
      </c>
      <c r="E38" s="90">
        <f t="shared" si="2"/>
        <v>43.44444444444445</v>
      </c>
      <c r="F38" s="69"/>
    </row>
    <row r="39" spans="1:7" ht="15" customHeight="1" x14ac:dyDescent="0.2">
      <c r="A39" s="11" t="s">
        <v>306</v>
      </c>
      <c r="B39" s="11"/>
      <c r="C39" s="83"/>
      <c r="D39" s="83"/>
      <c r="E39" s="83"/>
      <c r="F39" s="75"/>
    </row>
    <row r="40" spans="1:7" ht="15" customHeight="1" x14ac:dyDescent="0.25">
      <c r="A40" s="51" t="s">
        <v>361</v>
      </c>
      <c r="B40" s="49" t="s">
        <v>442</v>
      </c>
      <c r="C40" s="80">
        <f>IF(B13="","",(C35*C15/1000))</f>
        <v>6.6</v>
      </c>
      <c r="D40" s="80">
        <f>IF(D13="","",(D35*D15/1000))</f>
        <v>4.08</v>
      </c>
      <c r="E40" s="80">
        <f t="shared" si="2"/>
        <v>2.5199999999999996</v>
      </c>
      <c r="F40" s="69" t="s">
        <v>161</v>
      </c>
    </row>
    <row r="41" spans="1:7" ht="15" customHeight="1" x14ac:dyDescent="0.2">
      <c r="A41" s="51" t="s">
        <v>375</v>
      </c>
      <c r="B41" s="172" t="s">
        <v>503</v>
      </c>
      <c r="C41" s="78">
        <f>IF(B13="","",C40*C16)</f>
        <v>26400</v>
      </c>
      <c r="D41" s="78">
        <f>IF(D13="","",D40*D16)</f>
        <v>16320</v>
      </c>
      <c r="E41" s="78">
        <f t="shared" si="2"/>
        <v>10080</v>
      </c>
      <c r="F41" s="69" t="s">
        <v>160</v>
      </c>
    </row>
    <row r="42" spans="1:7" ht="15" customHeight="1" x14ac:dyDescent="0.2">
      <c r="A42"/>
      <c r="B42"/>
      <c r="C42"/>
      <c r="D42"/>
      <c r="E42"/>
      <c r="F42"/>
    </row>
    <row r="43" spans="1:7" customFormat="1" ht="15" customHeight="1" x14ac:dyDescent="0.2"/>
    <row r="44" spans="1:7" customFormat="1" ht="15" customHeight="1" x14ac:dyDescent="0.2"/>
    <row r="45" spans="1:7" customFormat="1" ht="15" customHeight="1" x14ac:dyDescent="0.2"/>
    <row r="46" spans="1:7" customFormat="1" ht="15" customHeight="1" x14ac:dyDescent="0.2"/>
    <row r="47" spans="1:7" ht="30" hidden="1" customHeight="1" x14ac:dyDescent="0.2">
      <c r="A47" s="258" t="str">
        <f>A1</f>
        <v>AR No. # - Lighting Analysis</v>
      </c>
      <c r="B47" s="259"/>
      <c r="C47" s="259"/>
      <c r="D47" s="259"/>
      <c r="E47" s="259"/>
      <c r="F47" s="260"/>
    </row>
    <row r="48" spans="1:7" ht="15" hidden="1" customHeight="1" x14ac:dyDescent="0.2">
      <c r="A48" s="257" t="s">
        <v>389</v>
      </c>
      <c r="B48" s="257"/>
      <c r="C48" s="257"/>
      <c r="D48" s="257"/>
      <c r="E48" s="257"/>
      <c r="F48" s="257"/>
    </row>
    <row r="49" spans="1:7" ht="15" customHeight="1" x14ac:dyDescent="0.2">
      <c r="A49" s="6" t="s">
        <v>152</v>
      </c>
      <c r="B49" s="6"/>
      <c r="C49" s="97" t="s">
        <v>298</v>
      </c>
      <c r="D49" s="97" t="s">
        <v>281</v>
      </c>
      <c r="E49" s="97" t="s">
        <v>299</v>
      </c>
      <c r="F49" s="77" t="s">
        <v>8</v>
      </c>
    </row>
    <row r="50" spans="1:7" ht="15" customHeight="1" x14ac:dyDescent="0.2">
      <c r="A50" s="11" t="s">
        <v>307</v>
      </c>
      <c r="B50" s="11"/>
      <c r="C50" s="83"/>
      <c r="D50" s="83"/>
      <c r="E50" s="83"/>
      <c r="F50" s="75"/>
    </row>
    <row r="51" spans="1:7" ht="15" customHeight="1" x14ac:dyDescent="0.25">
      <c r="A51" s="51" t="s">
        <v>352</v>
      </c>
      <c r="B51" s="49" t="s">
        <v>504</v>
      </c>
      <c r="C51" s="80">
        <f>IF(B13="","",C17*C21*C25/1000)</f>
        <v>439.92</v>
      </c>
      <c r="D51" s="80">
        <f>IF(D13="","",D17*D21*D25/1000)</f>
        <v>376</v>
      </c>
      <c r="E51" s="80">
        <f>IF(C51-D51=0,"", C51-D51)</f>
        <v>63.920000000000016</v>
      </c>
      <c r="F51" s="69" t="s">
        <v>330</v>
      </c>
    </row>
    <row r="52" spans="1:7" ht="15" customHeight="1" x14ac:dyDescent="0.2">
      <c r="A52" s="51" t="s">
        <v>354</v>
      </c>
      <c r="B52" s="49" t="s">
        <v>505</v>
      </c>
      <c r="C52" s="85">
        <v>50</v>
      </c>
      <c r="D52" s="80">
        <f>IF(C52="","",D51/C51*C52*(D18/C18))</f>
        <v>45.584045584045583</v>
      </c>
      <c r="E52" s="80">
        <f>IF(C52-D52=0,"", C52-D52)</f>
        <v>4.4159544159544168</v>
      </c>
      <c r="F52" s="69" t="s">
        <v>301</v>
      </c>
      <c r="G52" s="171" t="s">
        <v>469</v>
      </c>
    </row>
    <row r="53" spans="1:7" ht="15" customHeight="1" x14ac:dyDescent="0.25">
      <c r="A53" s="51" t="s">
        <v>486</v>
      </c>
      <c r="B53" s="49" t="s">
        <v>506</v>
      </c>
      <c r="C53" s="80">
        <f>IF(B13="","",C51/C40)</f>
        <v>66.654545454545456</v>
      </c>
      <c r="D53" s="80">
        <f>IF(D13="","",D51/D40)</f>
        <v>92.156862745098039</v>
      </c>
      <c r="E53" s="80">
        <f>IF(C53-D53=0,"", D53-C53)</f>
        <v>25.502317290552583</v>
      </c>
      <c r="F53" s="69" t="s">
        <v>360</v>
      </c>
    </row>
    <row r="54" spans="1:7" ht="15" customHeight="1" x14ac:dyDescent="0.2">
      <c r="A54" s="11" t="s">
        <v>318</v>
      </c>
      <c r="B54" s="11"/>
      <c r="C54" s="11"/>
      <c r="D54" s="11"/>
      <c r="E54" s="92"/>
      <c r="F54" s="11"/>
    </row>
    <row r="55" spans="1:7" ht="15" customHeight="1" x14ac:dyDescent="0.25">
      <c r="A55" s="51" t="s">
        <v>312</v>
      </c>
      <c r="B55" s="49" t="s">
        <v>507</v>
      </c>
      <c r="C55" s="56">
        <f>IF(B13="","",C40*C8*12)</f>
        <v>554.4</v>
      </c>
      <c r="D55" s="56">
        <f>IF(D13="","",D40*C8*12)</f>
        <v>342.72</v>
      </c>
      <c r="E55" s="91">
        <f t="shared" ref="E55:E59" si="3">IF(C55-D55=0,"", C55-D55)</f>
        <v>211.67999999999995</v>
      </c>
      <c r="F55" s="62"/>
    </row>
    <row r="56" spans="1:7" ht="15" customHeight="1" x14ac:dyDescent="0.25">
      <c r="A56" s="51" t="s">
        <v>313</v>
      </c>
      <c r="B56" s="49" t="s">
        <v>508</v>
      </c>
      <c r="C56" s="56">
        <f>IF(B13="","",C41*C7)</f>
        <v>2508</v>
      </c>
      <c r="D56" s="56">
        <f>IF(D13="","",D41*C7)</f>
        <v>1550.4</v>
      </c>
      <c r="E56" s="91">
        <f t="shared" si="3"/>
        <v>957.59999999999991</v>
      </c>
      <c r="F56" s="62"/>
    </row>
    <row r="57" spans="1:7" ht="15" customHeight="1" x14ac:dyDescent="0.25">
      <c r="A57" s="51" t="s">
        <v>314</v>
      </c>
      <c r="B57" s="173" t="s">
        <v>509</v>
      </c>
      <c r="C57" s="56">
        <f>IF(B13="","",C27+C37)</f>
        <v>172.42666666666668</v>
      </c>
      <c r="D57" s="56">
        <f>IF(D13="","",D27+D37)</f>
        <v>138.72222222222223</v>
      </c>
      <c r="E57" s="91">
        <f t="shared" si="3"/>
        <v>33.704444444444448</v>
      </c>
      <c r="F57" s="62"/>
    </row>
    <row r="58" spans="1:7" ht="15" customHeight="1" x14ac:dyDescent="0.25">
      <c r="A58" s="51" t="s">
        <v>315</v>
      </c>
      <c r="B58" s="173" t="s">
        <v>510</v>
      </c>
      <c r="C58" s="56">
        <f>IF(B13="","",C28+C38)</f>
        <v>224</v>
      </c>
      <c r="D58" s="56">
        <f>IF(D13="","",D28+D38)</f>
        <v>91.666666666666657</v>
      </c>
      <c r="E58" s="91">
        <f t="shared" si="3"/>
        <v>132.33333333333334</v>
      </c>
      <c r="F58" s="62"/>
    </row>
    <row r="59" spans="1:7" ht="15" customHeight="1" x14ac:dyDescent="0.25">
      <c r="A59" s="51" t="s">
        <v>316</v>
      </c>
      <c r="B59" s="173" t="s">
        <v>511</v>
      </c>
      <c r="C59" s="56">
        <f>SUM(C55:C58)</f>
        <v>3458.8266666666668</v>
      </c>
      <c r="D59" s="56">
        <f>IF(D13="","",SUM(D55:D58))</f>
        <v>2123.508888888889</v>
      </c>
      <c r="E59" s="91">
        <f t="shared" si="3"/>
        <v>1335.3177777777778</v>
      </c>
      <c r="F59" s="62"/>
    </row>
    <row r="60" spans="1:7" ht="15" customHeight="1" x14ac:dyDescent="0.2"/>
    <row r="61" spans="1:7" ht="15" customHeight="1" x14ac:dyDescent="0.2">
      <c r="A61" s="6" t="s">
        <v>283</v>
      </c>
      <c r="B61" s="6"/>
      <c r="C61" s="6"/>
      <c r="D61" s="6"/>
      <c r="E61" s="6"/>
      <c r="F61" s="6"/>
    </row>
    <row r="62" spans="1:7" ht="15" customHeight="1" x14ac:dyDescent="0.25">
      <c r="A62" s="51" t="s">
        <v>317</v>
      </c>
      <c r="B62" s="49" t="s">
        <v>457</v>
      </c>
      <c r="D62" s="103">
        <f>IF(OR(D13="",D13=B13),"",VLOOKUP(D13,Fixture_Data[],15,FALSE))</f>
        <v>256.25</v>
      </c>
      <c r="E62" s="69" t="s">
        <v>284</v>
      </c>
    </row>
    <row r="63" spans="1:7" ht="15" customHeight="1" x14ac:dyDescent="0.25">
      <c r="A63" s="51" t="s">
        <v>324</v>
      </c>
      <c r="B63" s="49" t="s">
        <v>429</v>
      </c>
      <c r="D63" s="58"/>
      <c r="E63" s="69" t="s">
        <v>285</v>
      </c>
    </row>
    <row r="64" spans="1:7" ht="15" customHeight="1" x14ac:dyDescent="0.25">
      <c r="A64" s="51" t="s">
        <v>286</v>
      </c>
      <c r="B64" s="49" t="s">
        <v>430</v>
      </c>
      <c r="D64" s="70"/>
      <c r="E64" s="69" t="s">
        <v>287</v>
      </c>
    </row>
    <row r="65" spans="1:7" ht="15" customHeight="1" x14ac:dyDescent="0.25">
      <c r="A65" s="51" t="s">
        <v>355</v>
      </c>
      <c r="B65" s="49" t="s">
        <v>512</v>
      </c>
      <c r="D65" s="91">
        <f>IF(C9="Yes",IF(D13=B13,D63*D64,((D62*D15)+(D21*D23)+(D63*D64)-(C21*C23)-(C33*D15))),IF(D13=B13,D63*D64,(D62*D15)+(D21*D23)+(D63*D64)))</f>
        <v>5201</v>
      </c>
      <c r="E65" s="69"/>
      <c r="G65" s="175" t="s">
        <v>458</v>
      </c>
    </row>
    <row r="66" spans="1:7" ht="15" customHeight="1" x14ac:dyDescent="0.25">
      <c r="A66" s="51" t="s">
        <v>356</v>
      </c>
      <c r="B66" s="49" t="s">
        <v>513</v>
      </c>
      <c r="D66" s="91">
        <f>IF(C9="Yes",IF(D13=B13,Calculation!C18*Calculation!C17*D64,IF(D62=0,0,(Calculation!C19*Calculation!C17*D15))+(Calculation!C16*Calculation!C21*D21)+(Calculation!C18*Calculation!C17*D64)-(Calculation!C19*Calculation!C17*C15)-(Calculation!C16*Calculation!C21*C21)), IF(D13=B13,Calculation!C18*Calculation!C17*D64,(Calculation!C19*Calculation!C17*D15)+(Calculation!C16*Calculation!C21*D21)+(Calculation!C18*Calculation!C17*D64)))</f>
        <v>2100</v>
      </c>
      <c r="E66" s="69"/>
      <c r="G66" s="175" t="s">
        <v>459</v>
      </c>
    </row>
    <row r="67" spans="1:7" ht="15" customHeight="1" x14ac:dyDescent="0.25">
      <c r="A67" s="51" t="s">
        <v>357</v>
      </c>
      <c r="B67" s="49" t="s">
        <v>514</v>
      </c>
      <c r="D67" s="91">
        <f>SUM(D65:D66)</f>
        <v>7301</v>
      </c>
      <c r="E67" s="69"/>
    </row>
    <row r="68" spans="1:7" ht="15" customHeight="1" x14ac:dyDescent="0.2">
      <c r="A68" s="51" t="s">
        <v>9</v>
      </c>
      <c r="B68" s="49" t="s">
        <v>515</v>
      </c>
      <c r="D68" s="91">
        <f>(C59-D59)</f>
        <v>1335.3177777777778</v>
      </c>
      <c r="E68" s="69" t="s">
        <v>311</v>
      </c>
    </row>
    <row r="69" spans="1:7" ht="15" customHeight="1" x14ac:dyDescent="0.25">
      <c r="A69" s="51" t="s">
        <v>296</v>
      </c>
      <c r="B69" s="49" t="s">
        <v>516</v>
      </c>
      <c r="D69" s="80">
        <f>D67/D68</f>
        <v>5.467612370255603</v>
      </c>
      <c r="E69" s="69" t="s">
        <v>302</v>
      </c>
    </row>
    <row r="70" spans="1:7" ht="15" customHeight="1" x14ac:dyDescent="0.2">
      <c r="B70" s="1"/>
    </row>
    <row r="71" spans="1:7" ht="15" customHeight="1" x14ac:dyDescent="0.2">
      <c r="A71" s="6" t="s">
        <v>323</v>
      </c>
      <c r="B71" s="6"/>
      <c r="C71" s="6"/>
      <c r="D71" s="6"/>
      <c r="E71" s="6"/>
      <c r="F71" s="6"/>
    </row>
    <row r="72" spans="1:7" ht="15" customHeight="1" x14ac:dyDescent="0.2"/>
    <row r="73" spans="1:7" ht="15" customHeight="1" x14ac:dyDescent="0.2"/>
    <row r="74" spans="1:7" ht="15" customHeight="1" x14ac:dyDescent="0.2"/>
    <row r="75" spans="1:7" ht="15" customHeight="1" x14ac:dyDescent="0.2"/>
    <row r="76" spans="1:7" ht="15" customHeight="1" x14ac:dyDescent="0.2"/>
    <row r="77" spans="1:7" ht="15" customHeight="1" x14ac:dyDescent="0.2"/>
    <row r="78" spans="1:7" ht="15" customHeight="1" x14ac:dyDescent="0.2"/>
    <row r="79" spans="1:7" ht="15" customHeight="1" x14ac:dyDescent="0.2"/>
    <row r="80" spans="1:7" ht="15" customHeight="1" x14ac:dyDescent="0.2"/>
    <row r="81" spans="1:6" ht="15" customHeight="1" x14ac:dyDescent="0.2"/>
    <row r="82" spans="1:6" ht="15" customHeight="1" x14ac:dyDescent="0.2"/>
    <row r="83" spans="1:6" ht="15" customHeight="1" x14ac:dyDescent="0.2"/>
    <row r="84" spans="1:6" ht="15" customHeight="1" x14ac:dyDescent="0.2"/>
    <row r="85" spans="1:6" ht="15" customHeight="1" x14ac:dyDescent="0.2"/>
    <row r="86" spans="1:6" ht="15" customHeight="1" x14ac:dyDescent="0.2"/>
    <row r="87" spans="1:6" ht="15" customHeight="1" x14ac:dyDescent="0.2">
      <c r="A87" s="6" t="s">
        <v>193</v>
      </c>
      <c r="B87" s="6"/>
      <c r="C87" s="6"/>
      <c r="D87" s="6"/>
      <c r="E87" s="6"/>
      <c r="F87" s="6"/>
    </row>
    <row r="88" spans="1:6" ht="15" customHeight="1" x14ac:dyDescent="0.2"/>
    <row r="89" spans="1:6" ht="15" customHeight="1" x14ac:dyDescent="0.2"/>
    <row r="90" spans="1:6" ht="15" customHeight="1" x14ac:dyDescent="0.2"/>
    <row r="91" spans="1:6" ht="15" customHeight="1" x14ac:dyDescent="0.2"/>
    <row r="92" spans="1:6" ht="15" customHeight="1" x14ac:dyDescent="0.2"/>
    <row r="93" spans="1:6" ht="15" customHeight="1" x14ac:dyDescent="0.2"/>
    <row r="94" spans="1:6" ht="15" customHeight="1" x14ac:dyDescent="0.2"/>
    <row r="95" spans="1:6" ht="15" customHeight="1" x14ac:dyDescent="0.2"/>
    <row r="96" spans="1: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sheetData>
  <sheetProtection selectLockedCells="1"/>
  <mergeCells count="7">
    <mergeCell ref="A48:F48"/>
    <mergeCell ref="A1:F1"/>
    <mergeCell ref="A47:F47"/>
    <mergeCell ref="C4:D4"/>
    <mergeCell ref="C5:D5"/>
    <mergeCell ref="A2:F2"/>
    <mergeCell ref="B13:C13"/>
  </mergeCells>
  <dataValidations disablePrompts="1" count="2">
    <dataValidation type="list" allowBlank="1" showInputMessage="1" showErrorMessage="1" sqref="C9">
      <formula1>"Yes,No"</formula1>
    </dataValidation>
    <dataValidation type="list" allowBlank="1" showInputMessage="1" showErrorMessage="1" sqref="D13 B13">
      <formula1>INDIRECT("Fixture_Data[Fixture Code]")</formula1>
    </dataValidation>
  </dataValidations>
  <printOptions horizontalCentered="1"/>
  <pageMargins left="0.25" right="0.25" top="0.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7"/>
  <sheetViews>
    <sheetView showGridLines="0" view="pageBreakPreview" topLeftCell="A4" zoomScaleNormal="100" zoomScaleSheetLayoutView="100" workbookViewId="0">
      <selection activeCell="G16" sqref="G16"/>
    </sheetView>
  </sheetViews>
  <sheetFormatPr defaultRowHeight="12.75" x14ac:dyDescent="0.2"/>
  <cols>
    <col min="1" max="1" width="31.6640625" style="3" customWidth="1"/>
    <col min="2" max="2" width="11.5" style="3" customWidth="1"/>
    <col min="3" max="3" width="16.83203125" style="3" customWidth="1"/>
    <col min="4" max="4" width="21.6640625" style="3" customWidth="1"/>
    <col min="5" max="5" width="20" style="3" customWidth="1"/>
    <col min="6" max="6" width="6.6640625" style="3" customWidth="1"/>
    <col min="7" max="7" width="31.6640625" style="3" customWidth="1"/>
    <col min="8" max="8" width="6.6640625" style="3" customWidth="1"/>
    <col min="9" max="10" width="21.6640625" style="3" customWidth="1"/>
    <col min="11" max="11" width="20" style="3" customWidth="1"/>
    <col min="12" max="12" width="6.6640625" style="3" customWidth="1"/>
    <col min="13" max="16384" width="9.33203125" style="3"/>
  </cols>
  <sheetData>
    <row r="1" spans="1:10" ht="30" customHeight="1" x14ac:dyDescent="0.2">
      <c r="A1" s="234" t="str">
        <f>"AR No. "&amp;'[1]Report Data Export'!A3&amp;" - Lighting Analysis"</f>
        <v>AR No. # - Lighting Analysis</v>
      </c>
      <c r="B1" s="234"/>
      <c r="C1" s="234"/>
      <c r="D1" s="234"/>
      <c r="E1" s="234"/>
      <c r="F1" s="234"/>
    </row>
    <row r="2" spans="1:10" ht="15" customHeight="1" x14ac:dyDescent="0.2">
      <c r="A2" s="257" t="str">
        <f>[1]Narrative!A2</f>
        <v>Lighting Analysis Template Apr. 2014a, style 2013b</v>
      </c>
      <c r="B2" s="257"/>
      <c r="C2" s="257"/>
      <c r="D2" s="257"/>
      <c r="E2" s="257"/>
      <c r="F2" s="257"/>
    </row>
    <row r="3" spans="1:10" ht="15" customHeight="1" x14ac:dyDescent="0.2">
      <c r="A3" s="131" t="s">
        <v>156</v>
      </c>
      <c r="B3" s="131"/>
      <c r="C3" s="131"/>
      <c r="D3" s="131"/>
      <c r="E3" s="131"/>
      <c r="F3" s="131"/>
      <c r="G3" s="170" t="s">
        <v>443</v>
      </c>
      <c r="H3" s="170"/>
      <c r="I3" s="170"/>
      <c r="J3" s="170"/>
    </row>
    <row r="4" spans="1:10" ht="15" customHeight="1" x14ac:dyDescent="0.2">
      <c r="A4" s="11" t="s">
        <v>304</v>
      </c>
      <c r="B4" s="11"/>
      <c r="D4" s="11" t="s">
        <v>307</v>
      </c>
      <c r="E4" s="11"/>
      <c r="F4" s="11"/>
      <c r="G4" s="170"/>
      <c r="H4" s="170"/>
      <c r="I4" s="170"/>
      <c r="J4" s="170"/>
    </row>
    <row r="5" spans="1:10" ht="15" customHeight="1" x14ac:dyDescent="0.2">
      <c r="A5" s="174" t="s">
        <v>450</v>
      </c>
      <c r="D5" s="174" t="s">
        <v>490</v>
      </c>
    </row>
    <row r="6" spans="1:10" ht="15" customHeight="1" x14ac:dyDescent="0.2">
      <c r="A6" s="174"/>
    </row>
    <row r="7" spans="1:10" ht="15" customHeight="1" x14ac:dyDescent="0.2">
      <c r="A7" s="174" t="s">
        <v>451</v>
      </c>
      <c r="D7" s="174"/>
    </row>
    <row r="8" spans="1:10" ht="15" customHeight="1" x14ac:dyDescent="0.2">
      <c r="A8" s="174"/>
      <c r="D8" s="174" t="s">
        <v>491</v>
      </c>
    </row>
    <row r="9" spans="1:10" ht="15" customHeight="1" x14ac:dyDescent="0.2">
      <c r="D9" s="174"/>
    </row>
    <row r="10" spans="1:10" ht="15" customHeight="1" x14ac:dyDescent="0.2">
      <c r="A10" s="174" t="s">
        <v>452</v>
      </c>
    </row>
    <row r="11" spans="1:10" ht="15" customHeight="1" x14ac:dyDescent="0.2">
      <c r="D11" s="174"/>
    </row>
    <row r="12" spans="1:10" ht="15" customHeight="1" x14ac:dyDescent="0.2">
      <c r="A12" s="174" t="s">
        <v>460</v>
      </c>
      <c r="D12" s="174" t="s">
        <v>492</v>
      </c>
    </row>
    <row r="13" spans="1:10" ht="15" customHeight="1" x14ac:dyDescent="0.2">
      <c r="D13" s="174"/>
    </row>
    <row r="14" spans="1:10" ht="15" customHeight="1" x14ac:dyDescent="0.2"/>
    <row r="15" spans="1:10" ht="15" customHeight="1" x14ac:dyDescent="0.2">
      <c r="A15" s="11" t="s">
        <v>305</v>
      </c>
      <c r="B15" s="11"/>
    </row>
    <row r="16" spans="1:10" ht="15" customHeight="1" x14ac:dyDescent="0.2">
      <c r="A16" s="174" t="s">
        <v>463</v>
      </c>
      <c r="D16" s="11" t="s">
        <v>318</v>
      </c>
      <c r="E16" s="11"/>
      <c r="F16" s="11"/>
      <c r="G16" s="175" t="s">
        <v>458</v>
      </c>
    </row>
    <row r="17" spans="1:7" ht="15" customHeight="1" x14ac:dyDescent="0.2">
      <c r="D17" s="174" t="s">
        <v>493</v>
      </c>
      <c r="G17" s="175" t="s">
        <v>459</v>
      </c>
    </row>
    <row r="18" spans="1:7" ht="15" customHeight="1" x14ac:dyDescent="0.2">
      <c r="A18" s="174" t="s">
        <v>461</v>
      </c>
    </row>
    <row r="19" spans="1:7" ht="15" customHeight="1" x14ac:dyDescent="0.2">
      <c r="D19" s="174" t="s">
        <v>494</v>
      </c>
    </row>
    <row r="20" spans="1:7" ht="15" customHeight="1" x14ac:dyDescent="0.2">
      <c r="A20" s="174"/>
    </row>
    <row r="21" spans="1:7" ht="15" customHeight="1" x14ac:dyDescent="0.2">
      <c r="A21" s="174" t="s">
        <v>462</v>
      </c>
      <c r="D21" s="174" t="s">
        <v>495</v>
      </c>
    </row>
    <row r="22" spans="1:7" ht="15" customHeight="1" x14ac:dyDescent="0.2">
      <c r="A22" s="174"/>
    </row>
    <row r="23" spans="1:7" ht="15" customHeight="1" x14ac:dyDescent="0.2">
      <c r="A23" s="174" t="s">
        <v>464</v>
      </c>
      <c r="D23" s="174" t="s">
        <v>496</v>
      </c>
    </row>
    <row r="24" spans="1:7" ht="15" customHeight="1" x14ac:dyDescent="0.2">
      <c r="A24" s="174"/>
    </row>
    <row r="25" spans="1:7" ht="15" customHeight="1" x14ac:dyDescent="0.2">
      <c r="D25" s="174" t="s">
        <v>497</v>
      </c>
    </row>
    <row r="26" spans="1:7" ht="15" customHeight="1" x14ac:dyDescent="0.2">
      <c r="A26" s="11" t="s">
        <v>306</v>
      </c>
      <c r="B26" s="11"/>
    </row>
    <row r="27" spans="1:7" ht="15" customHeight="1" x14ac:dyDescent="0.2">
      <c r="A27" s="174" t="s">
        <v>465</v>
      </c>
    </row>
    <row r="28" spans="1:7" ht="15" customHeight="1" x14ac:dyDescent="0.2">
      <c r="D28" s="11" t="s">
        <v>283</v>
      </c>
      <c r="E28" s="11"/>
      <c r="F28" s="11"/>
    </row>
    <row r="29" spans="1:7" ht="15" customHeight="1" x14ac:dyDescent="0.2">
      <c r="D29" s="174" t="s">
        <v>498</v>
      </c>
    </row>
    <row r="30" spans="1:7" ht="15" customHeight="1" x14ac:dyDescent="0.2">
      <c r="A30" s="174" t="s">
        <v>485</v>
      </c>
    </row>
    <row r="31" spans="1:7" ht="15" customHeight="1" x14ac:dyDescent="0.2"/>
    <row r="32" spans="1:7" ht="15" customHeight="1" x14ac:dyDescent="0.2">
      <c r="A32" s="174"/>
      <c r="D32" s="174" t="s">
        <v>499</v>
      </c>
    </row>
    <row r="33" spans="1:4" ht="15" customHeight="1" x14ac:dyDescent="0.2">
      <c r="A33" s="174"/>
    </row>
    <row r="34" spans="1:4" ht="15" customHeight="1" x14ac:dyDescent="0.2"/>
    <row r="35" spans="1:4" ht="15" customHeight="1" x14ac:dyDescent="0.2">
      <c r="D35" s="174" t="s">
        <v>500</v>
      </c>
    </row>
    <row r="36" spans="1:4" ht="15" customHeight="1" x14ac:dyDescent="0.2"/>
    <row r="37" spans="1:4" ht="15" customHeight="1" x14ac:dyDescent="0.2">
      <c r="D37" s="174" t="s">
        <v>501</v>
      </c>
    </row>
    <row r="38" spans="1:4" ht="15" customHeight="1" x14ac:dyDescent="0.2"/>
    <row r="39" spans="1:4" ht="15" customHeight="1" x14ac:dyDescent="0.2"/>
    <row r="40" spans="1:4" ht="15" customHeight="1" x14ac:dyDescent="0.2">
      <c r="D40" s="174" t="s">
        <v>502</v>
      </c>
    </row>
    <row r="41" spans="1:4" ht="15" customHeight="1" x14ac:dyDescent="0.2"/>
    <row r="42" spans="1:4" ht="15" customHeight="1" x14ac:dyDescent="0.2">
      <c r="D42" s="174"/>
    </row>
    <row r="43" spans="1:4" ht="15" customHeight="1" x14ac:dyDescent="0.2"/>
    <row r="44" spans="1:4" ht="15" customHeight="1" x14ac:dyDescent="0.2"/>
    <row r="45" spans="1:4" ht="15" customHeight="1" x14ac:dyDescent="0.2"/>
    <row r="46" spans="1:4" ht="15" customHeight="1" x14ac:dyDescent="0.2"/>
    <row r="47" spans="1:4" ht="15" customHeight="1" x14ac:dyDescent="0.2"/>
    <row r="48" spans="1:4" ht="15" customHeight="1" x14ac:dyDescent="0.2"/>
    <row r="49" spans="2:2" ht="15" customHeight="1" x14ac:dyDescent="0.2">
      <c r="B49" s="3" t="str">
        <f>"Install (type of lights, where, etc.)."&amp;" (Reasons why). (More on how it will be implemented). "&amp;"This will (increase lighting efficiency, reduce operating hours?), reducing annual energy cost by "&amp;TEXT(X10,"$###,###,###")&amp;" and annual demand cost by "&amp;TEXT(X11,"$###,###,###")&amp;". Additionally, improved lighting is estimated to reduce total maintenance costs by "&amp;TEXT(X12+X13,"$###,###,###")&amp;" per year. Annual cost savings are estimated at "&amp;TEXT(X14,"$###,###,###")&amp;" after an implementation cost of "&amp;TEXT(S18,"$###,###,###")&amp;", resulting in a payback period of "&amp;TEXT(X18,"0.0")&amp;" years."</f>
        <v>Install (type of lights, where, etc.). (Reasons why). (More on how it will be implemented). This will (increase lighting efficiency, reduce operating hours?), reducing annual energy cost by $ and annual demand cost by $. Additionally, improved lighting is estimated to reduce total maintenance costs by $ per year. Annual cost savings are estimated at $ after an implementation cost of $, resulting in a payback period of 0.0 years.</v>
      </c>
    </row>
    <row r="50" spans="2:2" ht="15" customHeight="1" x14ac:dyDescent="0.2"/>
    <row r="51" spans="2:2" ht="15" customHeight="1" x14ac:dyDescent="0.2"/>
    <row r="52" spans="2:2" ht="15" customHeight="1" x14ac:dyDescent="0.2"/>
    <row r="53" spans="2:2" ht="15" customHeight="1" x14ac:dyDescent="0.2"/>
    <row r="54" spans="2:2" ht="15" customHeight="1" x14ac:dyDescent="0.2"/>
    <row r="55" spans="2:2" ht="15" customHeight="1" x14ac:dyDescent="0.2"/>
    <row r="56" spans="2:2" ht="15" customHeight="1" x14ac:dyDescent="0.2"/>
    <row r="57" spans="2:2" ht="15" customHeight="1" x14ac:dyDescent="0.2"/>
    <row r="58" spans="2:2" ht="15" customHeight="1" x14ac:dyDescent="0.2"/>
    <row r="59" spans="2:2" ht="15" customHeight="1" x14ac:dyDescent="0.2"/>
    <row r="60" spans="2:2" ht="15" customHeight="1" x14ac:dyDescent="0.2"/>
    <row r="61" spans="2:2" ht="15" customHeight="1" x14ac:dyDescent="0.2"/>
    <row r="62" spans="2:2" ht="15" customHeight="1" x14ac:dyDescent="0.2"/>
    <row r="63" spans="2:2" ht="15" customHeight="1" x14ac:dyDescent="0.2"/>
    <row r="64" spans="2: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sheetData>
  <sheetProtection selectLockedCells="1"/>
  <mergeCells count="2">
    <mergeCell ref="A1:F1"/>
    <mergeCell ref="A2:F2"/>
  </mergeCell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13314" r:id="rId4">
          <objectPr defaultSize="0" r:id="rId5">
            <anchor moveWithCells="1">
              <from>
                <xdr:col>0</xdr:col>
                <xdr:colOff>685800</xdr:colOff>
                <xdr:row>4</xdr:row>
                <xdr:rowOff>180975</xdr:rowOff>
              </from>
              <to>
                <xdr:col>0</xdr:col>
                <xdr:colOff>1190625</xdr:colOff>
                <xdr:row>6</xdr:row>
                <xdr:rowOff>28575</xdr:rowOff>
              </to>
            </anchor>
          </objectPr>
        </oleObject>
      </mc:Choice>
      <mc:Fallback>
        <oleObject progId="Equation.DSMT4" shapeId="13314" r:id="rId4"/>
      </mc:Fallback>
    </mc:AlternateContent>
    <mc:AlternateContent xmlns:mc="http://schemas.openxmlformats.org/markup-compatibility/2006">
      <mc:Choice Requires="x14">
        <oleObject progId="Equation.DSMT4" shapeId="13315" r:id="rId6">
          <objectPr defaultSize="0" r:id="rId7">
            <anchor moveWithCells="1">
              <from>
                <xdr:col>0</xdr:col>
                <xdr:colOff>809625</xdr:colOff>
                <xdr:row>6</xdr:row>
                <xdr:rowOff>152400</xdr:rowOff>
              </from>
              <to>
                <xdr:col>0</xdr:col>
                <xdr:colOff>1066800</xdr:colOff>
                <xdr:row>9</xdr:row>
                <xdr:rowOff>9525</xdr:rowOff>
              </to>
            </anchor>
          </objectPr>
        </oleObject>
      </mc:Choice>
      <mc:Fallback>
        <oleObject progId="Equation.DSMT4" shapeId="13315" r:id="rId6"/>
      </mc:Fallback>
    </mc:AlternateContent>
    <mc:AlternateContent xmlns:mc="http://schemas.openxmlformats.org/markup-compatibility/2006">
      <mc:Choice Requires="x14">
        <oleObject progId="Equation.DSMT4" shapeId="13316" r:id="rId8">
          <objectPr defaultSize="0" r:id="rId9">
            <anchor moveWithCells="1">
              <from>
                <xdr:col>0</xdr:col>
                <xdr:colOff>514350</xdr:colOff>
                <xdr:row>9</xdr:row>
                <xdr:rowOff>161925</xdr:rowOff>
              </from>
              <to>
                <xdr:col>0</xdr:col>
                <xdr:colOff>1352550</xdr:colOff>
                <xdr:row>11</xdr:row>
                <xdr:rowOff>9525</xdr:rowOff>
              </to>
            </anchor>
          </objectPr>
        </oleObject>
      </mc:Choice>
      <mc:Fallback>
        <oleObject progId="Equation.DSMT4" shapeId="13316" r:id="rId8"/>
      </mc:Fallback>
    </mc:AlternateContent>
    <mc:AlternateContent xmlns:mc="http://schemas.openxmlformats.org/markup-compatibility/2006">
      <mc:Choice Requires="x14">
        <oleObject progId="Equation.DSMT4" shapeId="13317" r:id="rId10">
          <objectPr defaultSize="0" r:id="rId11">
            <anchor moveWithCells="1">
              <from>
                <xdr:col>0</xdr:col>
                <xdr:colOff>342900</xdr:colOff>
                <xdr:row>11</xdr:row>
                <xdr:rowOff>171450</xdr:rowOff>
              </from>
              <to>
                <xdr:col>0</xdr:col>
                <xdr:colOff>1533525</xdr:colOff>
                <xdr:row>13</xdr:row>
                <xdr:rowOff>19050</xdr:rowOff>
              </to>
            </anchor>
          </objectPr>
        </oleObject>
      </mc:Choice>
      <mc:Fallback>
        <oleObject progId="Equation.DSMT4" shapeId="13317" r:id="rId10"/>
      </mc:Fallback>
    </mc:AlternateContent>
    <mc:AlternateContent xmlns:mc="http://schemas.openxmlformats.org/markup-compatibility/2006">
      <mc:Choice Requires="x14">
        <oleObject progId="Equation.DSMT4" shapeId="13318" r:id="rId12">
          <objectPr defaultSize="0" r:id="rId13">
            <anchor moveWithCells="1">
              <from>
                <xdr:col>0</xdr:col>
                <xdr:colOff>685800</xdr:colOff>
                <xdr:row>15</xdr:row>
                <xdr:rowOff>152400</xdr:rowOff>
              </from>
              <to>
                <xdr:col>0</xdr:col>
                <xdr:colOff>1190625</xdr:colOff>
                <xdr:row>17</xdr:row>
                <xdr:rowOff>0</xdr:rowOff>
              </to>
            </anchor>
          </objectPr>
        </oleObject>
      </mc:Choice>
      <mc:Fallback>
        <oleObject progId="Equation.DSMT4" shapeId="13318" r:id="rId12"/>
      </mc:Fallback>
    </mc:AlternateContent>
    <mc:AlternateContent xmlns:mc="http://schemas.openxmlformats.org/markup-compatibility/2006">
      <mc:Choice Requires="x14">
        <oleObject progId="Equation.DSMT4" shapeId="13319" r:id="rId14">
          <objectPr defaultSize="0" r:id="rId15">
            <anchor moveWithCells="1">
              <from>
                <xdr:col>0</xdr:col>
                <xdr:colOff>819150</xdr:colOff>
                <xdr:row>17</xdr:row>
                <xdr:rowOff>142875</xdr:rowOff>
              </from>
              <to>
                <xdr:col>0</xdr:col>
                <xdr:colOff>1057275</xdr:colOff>
                <xdr:row>20</xdr:row>
                <xdr:rowOff>28575</xdr:rowOff>
              </to>
            </anchor>
          </objectPr>
        </oleObject>
      </mc:Choice>
      <mc:Fallback>
        <oleObject progId="Equation.DSMT4" shapeId="13319" r:id="rId14"/>
      </mc:Fallback>
    </mc:AlternateContent>
    <mc:AlternateContent xmlns:mc="http://schemas.openxmlformats.org/markup-compatibility/2006">
      <mc:Choice Requires="x14">
        <oleObject progId="Equation.DSMT4" shapeId="13320" r:id="rId16">
          <objectPr defaultSize="0" r:id="rId17">
            <anchor moveWithCells="1">
              <from>
                <xdr:col>0</xdr:col>
                <xdr:colOff>323850</xdr:colOff>
                <xdr:row>22</xdr:row>
                <xdr:rowOff>161925</xdr:rowOff>
              </from>
              <to>
                <xdr:col>0</xdr:col>
                <xdr:colOff>1552575</xdr:colOff>
                <xdr:row>24</xdr:row>
                <xdr:rowOff>9525</xdr:rowOff>
              </to>
            </anchor>
          </objectPr>
        </oleObject>
      </mc:Choice>
      <mc:Fallback>
        <oleObject progId="Equation.DSMT4" shapeId="13320" r:id="rId16"/>
      </mc:Fallback>
    </mc:AlternateContent>
    <mc:AlternateContent xmlns:mc="http://schemas.openxmlformats.org/markup-compatibility/2006">
      <mc:Choice Requires="x14">
        <oleObject progId="Equation.DSMT4" shapeId="13321" r:id="rId18">
          <objectPr defaultSize="0" r:id="rId19">
            <anchor moveWithCells="1">
              <from>
                <xdr:col>0</xdr:col>
                <xdr:colOff>495300</xdr:colOff>
                <xdr:row>21</xdr:row>
                <xdr:rowOff>0</xdr:rowOff>
              </from>
              <to>
                <xdr:col>0</xdr:col>
                <xdr:colOff>1381125</xdr:colOff>
                <xdr:row>22</xdr:row>
                <xdr:rowOff>38100</xdr:rowOff>
              </to>
            </anchor>
          </objectPr>
        </oleObject>
      </mc:Choice>
      <mc:Fallback>
        <oleObject progId="Equation.DSMT4" shapeId="13321" r:id="rId18"/>
      </mc:Fallback>
    </mc:AlternateContent>
    <mc:AlternateContent xmlns:mc="http://schemas.openxmlformats.org/markup-compatibility/2006">
      <mc:Choice Requires="x14">
        <oleObject progId="Equation.DSMT4" shapeId="13322" r:id="rId20">
          <objectPr defaultSize="0" autoPict="0" r:id="rId21">
            <anchor moveWithCells="1">
              <from>
                <xdr:col>0</xdr:col>
                <xdr:colOff>247650</xdr:colOff>
                <xdr:row>26</xdr:row>
                <xdr:rowOff>171450</xdr:rowOff>
              </from>
              <to>
                <xdr:col>0</xdr:col>
                <xdr:colOff>1495425</xdr:colOff>
                <xdr:row>28</xdr:row>
                <xdr:rowOff>171450</xdr:rowOff>
              </to>
            </anchor>
          </objectPr>
        </oleObject>
      </mc:Choice>
      <mc:Fallback>
        <oleObject progId="Equation.DSMT4" shapeId="13322" r:id="rId20"/>
      </mc:Fallback>
    </mc:AlternateContent>
    <mc:AlternateContent xmlns:mc="http://schemas.openxmlformats.org/markup-compatibility/2006">
      <mc:Choice Requires="x14">
        <oleObject progId="Equation.DSMT4" shapeId="13323" r:id="rId22">
          <objectPr defaultSize="0" autoPict="0" r:id="rId23">
            <anchor moveWithCells="1">
              <from>
                <xdr:col>0</xdr:col>
                <xdr:colOff>666750</xdr:colOff>
                <xdr:row>30</xdr:row>
                <xdr:rowOff>85725</xdr:rowOff>
              </from>
              <to>
                <xdr:col>0</xdr:col>
                <xdr:colOff>1076325</xdr:colOff>
                <xdr:row>31</xdr:row>
                <xdr:rowOff>133350</xdr:rowOff>
              </to>
            </anchor>
          </objectPr>
        </oleObject>
      </mc:Choice>
      <mc:Fallback>
        <oleObject progId="Equation.DSMT4" shapeId="13323" r:id="rId22"/>
      </mc:Fallback>
    </mc:AlternateContent>
    <mc:AlternateContent xmlns:mc="http://schemas.openxmlformats.org/markup-compatibility/2006">
      <mc:Choice Requires="x14">
        <oleObject progId="Equation.DSMT4" shapeId="13324" r:id="rId24">
          <objectPr defaultSize="0" r:id="rId25">
            <anchor moveWithCells="1">
              <from>
                <xdr:col>3</xdr:col>
                <xdr:colOff>866775</xdr:colOff>
                <xdr:row>5</xdr:row>
                <xdr:rowOff>0</xdr:rowOff>
              </from>
              <to>
                <xdr:col>4</xdr:col>
                <xdr:colOff>390525</xdr:colOff>
                <xdr:row>7</xdr:row>
                <xdr:rowOff>9525</xdr:rowOff>
              </to>
            </anchor>
          </objectPr>
        </oleObject>
      </mc:Choice>
      <mc:Fallback>
        <oleObject progId="Equation.DSMT4" shapeId="13324" r:id="rId24"/>
      </mc:Fallback>
    </mc:AlternateContent>
    <mc:AlternateContent xmlns:mc="http://schemas.openxmlformats.org/markup-compatibility/2006">
      <mc:Choice Requires="x14">
        <oleObject progId="Equation.DSMT4" shapeId="13325" r:id="rId26">
          <objectPr defaultSize="0" r:id="rId27">
            <anchor moveWithCells="1">
              <from>
                <xdr:col>3</xdr:col>
                <xdr:colOff>1143000</xdr:colOff>
                <xdr:row>11</xdr:row>
                <xdr:rowOff>180975</xdr:rowOff>
              </from>
              <to>
                <xdr:col>4</xdr:col>
                <xdr:colOff>123825</xdr:colOff>
                <xdr:row>14</xdr:row>
                <xdr:rowOff>38100</xdr:rowOff>
              </to>
            </anchor>
          </objectPr>
        </oleObject>
      </mc:Choice>
      <mc:Fallback>
        <oleObject progId="Equation.DSMT4" shapeId="13325" r:id="rId26"/>
      </mc:Fallback>
    </mc:AlternateContent>
    <mc:AlternateContent xmlns:mc="http://schemas.openxmlformats.org/markup-compatibility/2006">
      <mc:Choice Requires="x14">
        <oleObject progId="Equation.DSMT4" shapeId="13326" r:id="rId28">
          <objectPr defaultSize="0" r:id="rId29">
            <anchor moveWithCells="1">
              <from>
                <xdr:col>3</xdr:col>
                <xdr:colOff>866775</xdr:colOff>
                <xdr:row>16</xdr:row>
                <xdr:rowOff>171450</xdr:rowOff>
              </from>
              <to>
                <xdr:col>4</xdr:col>
                <xdr:colOff>438150</xdr:colOff>
                <xdr:row>18</xdr:row>
                <xdr:rowOff>19050</xdr:rowOff>
              </to>
            </anchor>
          </objectPr>
        </oleObject>
      </mc:Choice>
      <mc:Fallback>
        <oleObject progId="Equation.DSMT4" shapeId="13326" r:id="rId28"/>
      </mc:Fallback>
    </mc:AlternateContent>
    <mc:AlternateContent xmlns:mc="http://schemas.openxmlformats.org/markup-compatibility/2006">
      <mc:Choice Requires="x14">
        <oleObject progId="Equation.DSMT4" shapeId="13327" r:id="rId30">
          <objectPr defaultSize="0" r:id="rId31">
            <anchor moveWithCells="1">
              <from>
                <xdr:col>3</xdr:col>
                <xdr:colOff>990600</xdr:colOff>
                <xdr:row>18</xdr:row>
                <xdr:rowOff>171450</xdr:rowOff>
              </from>
              <to>
                <xdr:col>4</xdr:col>
                <xdr:colOff>314325</xdr:colOff>
                <xdr:row>20</xdr:row>
                <xdr:rowOff>19050</xdr:rowOff>
              </to>
            </anchor>
          </objectPr>
        </oleObject>
      </mc:Choice>
      <mc:Fallback>
        <oleObject progId="Equation.DSMT4" shapeId="13327" r:id="rId30"/>
      </mc:Fallback>
    </mc:AlternateContent>
    <mc:AlternateContent xmlns:mc="http://schemas.openxmlformats.org/markup-compatibility/2006">
      <mc:Choice Requires="x14">
        <oleObject progId="Equation.DSMT4" shapeId="13328" r:id="rId32">
          <objectPr defaultSize="0" r:id="rId33">
            <anchor moveWithCells="1">
              <from>
                <xdr:col>3</xdr:col>
                <xdr:colOff>942975</xdr:colOff>
                <xdr:row>21</xdr:row>
                <xdr:rowOff>0</xdr:rowOff>
              </from>
              <to>
                <xdr:col>4</xdr:col>
                <xdr:colOff>323850</xdr:colOff>
                <xdr:row>22</xdr:row>
                <xdr:rowOff>38100</xdr:rowOff>
              </to>
            </anchor>
          </objectPr>
        </oleObject>
      </mc:Choice>
      <mc:Fallback>
        <oleObject progId="Equation.DSMT4" shapeId="13328" r:id="rId32"/>
      </mc:Fallback>
    </mc:AlternateContent>
    <mc:AlternateContent xmlns:mc="http://schemas.openxmlformats.org/markup-compatibility/2006">
      <mc:Choice Requires="x14">
        <oleObject progId="Equation.DSMT4" shapeId="13329" r:id="rId34">
          <objectPr defaultSize="0" r:id="rId35">
            <anchor moveWithCells="1">
              <from>
                <xdr:col>3</xdr:col>
                <xdr:colOff>904875</xdr:colOff>
                <xdr:row>23</xdr:row>
                <xdr:rowOff>0</xdr:rowOff>
              </from>
              <to>
                <xdr:col>4</xdr:col>
                <xdr:colOff>352425</xdr:colOff>
                <xdr:row>24</xdr:row>
                <xdr:rowOff>38100</xdr:rowOff>
              </to>
            </anchor>
          </objectPr>
        </oleObject>
      </mc:Choice>
      <mc:Fallback>
        <oleObject progId="Equation.DSMT4" shapeId="13329" r:id="rId34"/>
      </mc:Fallback>
    </mc:AlternateContent>
    <mc:AlternateContent xmlns:mc="http://schemas.openxmlformats.org/markup-compatibility/2006">
      <mc:Choice Requires="x14">
        <oleObject progId="Equation.DSMT4" shapeId="13330" r:id="rId36">
          <objectPr defaultSize="0" r:id="rId37">
            <anchor moveWithCells="1">
              <from>
                <xdr:col>3</xdr:col>
                <xdr:colOff>590550</xdr:colOff>
                <xdr:row>25</xdr:row>
                <xdr:rowOff>0</xdr:rowOff>
              </from>
              <to>
                <xdr:col>4</xdr:col>
                <xdr:colOff>676275</xdr:colOff>
                <xdr:row>26</xdr:row>
                <xdr:rowOff>38100</xdr:rowOff>
              </to>
            </anchor>
          </objectPr>
        </oleObject>
      </mc:Choice>
      <mc:Fallback>
        <oleObject progId="Equation.DSMT4" shapeId="13330" r:id="rId36"/>
      </mc:Fallback>
    </mc:AlternateContent>
    <mc:AlternateContent xmlns:mc="http://schemas.openxmlformats.org/markup-compatibility/2006">
      <mc:Choice Requires="x14">
        <oleObject progId="Equation.DSMT4" shapeId="13331" r:id="rId38">
          <objectPr defaultSize="0" r:id="rId39">
            <anchor moveWithCells="1">
              <from>
                <xdr:col>3</xdr:col>
                <xdr:colOff>257175</xdr:colOff>
                <xdr:row>29</xdr:row>
                <xdr:rowOff>66675</xdr:rowOff>
              </from>
              <to>
                <xdr:col>4</xdr:col>
                <xdr:colOff>1009650</xdr:colOff>
                <xdr:row>30</xdr:row>
                <xdr:rowOff>104775</xdr:rowOff>
              </to>
            </anchor>
          </objectPr>
        </oleObject>
      </mc:Choice>
      <mc:Fallback>
        <oleObject progId="Equation.DSMT4" shapeId="13331" r:id="rId38"/>
      </mc:Fallback>
    </mc:AlternateContent>
    <mc:AlternateContent xmlns:mc="http://schemas.openxmlformats.org/markup-compatibility/2006">
      <mc:Choice Requires="x14">
        <oleObject progId="Equation.DSMT4" shapeId="13332" r:id="rId40">
          <objectPr defaultSize="0" r:id="rId41">
            <anchor moveWithCells="1">
              <from>
                <xdr:col>2</xdr:col>
                <xdr:colOff>723900</xdr:colOff>
                <xdr:row>32</xdr:row>
                <xdr:rowOff>85725</xdr:rowOff>
              </from>
              <to>
                <xdr:col>5</xdr:col>
                <xdr:colOff>352425</xdr:colOff>
                <xdr:row>33</xdr:row>
                <xdr:rowOff>123825</xdr:rowOff>
              </to>
            </anchor>
          </objectPr>
        </oleObject>
      </mc:Choice>
      <mc:Fallback>
        <oleObject progId="Equation.DSMT4" shapeId="13332" r:id="rId40"/>
      </mc:Fallback>
    </mc:AlternateContent>
    <mc:AlternateContent xmlns:mc="http://schemas.openxmlformats.org/markup-compatibility/2006">
      <mc:Choice Requires="x14">
        <oleObject progId="Equation.DSMT4" shapeId="13333" r:id="rId42">
          <objectPr defaultSize="0" r:id="rId43">
            <anchor moveWithCells="1">
              <from>
                <xdr:col>3</xdr:col>
                <xdr:colOff>981075</xdr:colOff>
                <xdr:row>35</xdr:row>
                <xdr:rowOff>0</xdr:rowOff>
              </from>
              <to>
                <xdr:col>4</xdr:col>
                <xdr:colOff>285750</xdr:colOff>
                <xdr:row>36</xdr:row>
                <xdr:rowOff>38100</xdr:rowOff>
              </to>
            </anchor>
          </objectPr>
        </oleObject>
      </mc:Choice>
      <mc:Fallback>
        <oleObject progId="Equation.DSMT4" shapeId="13333" r:id="rId42"/>
      </mc:Fallback>
    </mc:AlternateContent>
    <mc:AlternateContent xmlns:mc="http://schemas.openxmlformats.org/markup-compatibility/2006">
      <mc:Choice Requires="x14">
        <oleObject progId="Equation.DSMT4" shapeId="13334" r:id="rId44">
          <objectPr defaultSize="0" r:id="rId45">
            <anchor moveWithCells="1">
              <from>
                <xdr:col>3</xdr:col>
                <xdr:colOff>1133475</xdr:colOff>
                <xdr:row>40</xdr:row>
                <xdr:rowOff>0</xdr:rowOff>
              </from>
              <to>
                <xdr:col>4</xdr:col>
                <xdr:colOff>123825</xdr:colOff>
                <xdr:row>42</xdr:row>
                <xdr:rowOff>9525</xdr:rowOff>
              </to>
            </anchor>
          </objectPr>
        </oleObject>
      </mc:Choice>
      <mc:Fallback>
        <oleObject progId="Equation.DSMT4" shapeId="13334" r:id="rId44"/>
      </mc:Fallback>
    </mc:AlternateContent>
    <mc:AlternateContent xmlns:mc="http://schemas.openxmlformats.org/markup-compatibility/2006">
      <mc:Choice Requires="x14">
        <oleObject progId="Equation.DSMT4" shapeId="13335" r:id="rId46">
          <objectPr defaultSize="0" autoPict="0" r:id="rId47">
            <anchor moveWithCells="1">
              <from>
                <xdr:col>3</xdr:col>
                <xdr:colOff>228600</xdr:colOff>
                <xdr:row>7</xdr:row>
                <xdr:rowOff>161925</xdr:rowOff>
              </from>
              <to>
                <xdr:col>4</xdr:col>
                <xdr:colOff>1133475</xdr:colOff>
                <xdr:row>11</xdr:row>
                <xdr:rowOff>47625</xdr:rowOff>
              </to>
            </anchor>
          </objectPr>
        </oleObject>
      </mc:Choice>
      <mc:Fallback>
        <oleObject progId="Equation.DSMT4" shapeId="13335" r:id="rId46"/>
      </mc:Fallback>
    </mc:AlternateContent>
    <mc:AlternateContent xmlns:mc="http://schemas.openxmlformats.org/markup-compatibility/2006">
      <mc:Choice Requires="x14">
        <oleObject progId="Equation.DSMT4" shapeId="13336" r:id="rId48">
          <objectPr defaultSize="0" autoPict="0" r:id="rId49">
            <anchor moveWithCells="1">
              <from>
                <xdr:col>3</xdr:col>
                <xdr:colOff>485775</xdr:colOff>
                <xdr:row>37</xdr:row>
                <xdr:rowOff>47625</xdr:rowOff>
              </from>
              <to>
                <xdr:col>4</xdr:col>
                <xdr:colOff>952500</xdr:colOff>
                <xdr:row>38</xdr:row>
                <xdr:rowOff>142875</xdr:rowOff>
              </to>
            </anchor>
          </objectPr>
        </oleObject>
      </mc:Choice>
      <mc:Fallback>
        <oleObject progId="Equation.DSMT4" shapeId="13336" r:id="rId48"/>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S114"/>
  <sheetViews>
    <sheetView showGridLines="0" zoomScaleNormal="100" zoomScaleSheetLayoutView="80" workbookViewId="0">
      <pane ySplit="1" topLeftCell="A2" activePane="bottomLeft" state="frozen"/>
      <selection pane="bottomLeft" activeCell="B17" sqref="B17"/>
    </sheetView>
  </sheetViews>
  <sheetFormatPr defaultRowHeight="12.75" x14ac:dyDescent="0.2"/>
  <cols>
    <col min="1" max="1" width="22.6640625" style="73" bestFit="1" customWidth="1"/>
    <col min="2" max="2" width="34.33203125" style="73" bestFit="1" customWidth="1"/>
    <col min="3" max="3" width="15" style="72" customWidth="1"/>
    <col min="4" max="15" width="15" style="61" customWidth="1"/>
    <col min="16" max="17" width="15" style="112" customWidth="1"/>
    <col min="18" max="19" width="15" style="107" customWidth="1"/>
    <col min="20" max="16384" width="9.33203125" style="61"/>
  </cols>
  <sheetData>
    <row r="1" spans="1:19" ht="30" x14ac:dyDescent="0.2">
      <c r="A1" s="75" t="s">
        <v>195</v>
      </c>
      <c r="B1" s="74" t="s">
        <v>152</v>
      </c>
      <c r="C1" s="74" t="s">
        <v>196</v>
      </c>
      <c r="D1" s="74" t="s">
        <v>197</v>
      </c>
      <c r="E1" s="74" t="s">
        <v>198</v>
      </c>
      <c r="F1" s="74" t="s">
        <v>199</v>
      </c>
      <c r="G1" s="74" t="s">
        <v>200</v>
      </c>
      <c r="H1" s="74" t="s">
        <v>201</v>
      </c>
      <c r="I1" s="74" t="s">
        <v>202</v>
      </c>
      <c r="J1" s="74" t="s">
        <v>203</v>
      </c>
      <c r="K1" s="74" t="s">
        <v>204</v>
      </c>
      <c r="L1" s="74" t="s">
        <v>205</v>
      </c>
      <c r="M1" s="74" t="s">
        <v>206</v>
      </c>
      <c r="N1" s="74" t="s">
        <v>207</v>
      </c>
      <c r="O1" s="74" t="s">
        <v>320</v>
      </c>
      <c r="P1" s="109" t="s">
        <v>208</v>
      </c>
      <c r="Q1" s="109" t="s">
        <v>209</v>
      </c>
      <c r="R1" s="104" t="s">
        <v>353</v>
      </c>
      <c r="S1" s="115" t="s">
        <v>368</v>
      </c>
    </row>
    <row r="2" spans="1:19" x14ac:dyDescent="0.2">
      <c r="A2" s="73" t="str">
        <f t="shared" ref="A2:A33" si="0">IF(C2="","",""&amp;C2&amp;"-"&amp;D2&amp;"-"&amp;E2&amp;"FT-"&amp;F2&amp;"L-"&amp;G2&amp;"W")</f>
        <v>OF-T12-4FT-2L-34W</v>
      </c>
      <c r="B2" s="73" t="s">
        <v>210</v>
      </c>
      <c r="C2" s="72" t="s">
        <v>211</v>
      </c>
      <c r="D2" s="72" t="s">
        <v>212</v>
      </c>
      <c r="E2" s="72">
        <v>4</v>
      </c>
      <c r="F2" s="72">
        <v>2</v>
      </c>
      <c r="G2" s="72">
        <v>34</v>
      </c>
      <c r="H2" s="72">
        <v>2610</v>
      </c>
      <c r="I2" s="72">
        <v>20000</v>
      </c>
      <c r="J2" s="72">
        <v>72</v>
      </c>
      <c r="K2" s="72">
        <v>72</v>
      </c>
      <c r="L2" s="72">
        <v>1</v>
      </c>
      <c r="M2" s="72">
        <v>75000</v>
      </c>
      <c r="N2" s="72">
        <f t="shared" ref="N2:N33" si="1">IF(J2="","",IF(J2/(G2*F2)&gt;1,1,J2/(G2*F2)))</f>
        <v>1</v>
      </c>
      <c r="O2" s="72">
        <v>80.900000000000006</v>
      </c>
      <c r="P2" s="110">
        <v>0.4</v>
      </c>
      <c r="Q2" s="110">
        <v>31.45</v>
      </c>
      <c r="R2" s="105">
        <v>0.09</v>
      </c>
      <c r="S2" s="113"/>
    </row>
    <row r="3" spans="1:19" x14ac:dyDescent="0.2">
      <c r="A3" s="73" t="str">
        <f t="shared" si="0"/>
        <v>OF-T12-4FT-2L-40W</v>
      </c>
      <c r="B3" s="73" t="s">
        <v>210</v>
      </c>
      <c r="C3" s="72" t="s">
        <v>211</v>
      </c>
      <c r="D3" s="72" t="s">
        <v>212</v>
      </c>
      <c r="E3" s="72">
        <v>4</v>
      </c>
      <c r="F3" s="72">
        <v>2</v>
      </c>
      <c r="G3" s="72">
        <v>40</v>
      </c>
      <c r="H3" s="72">
        <v>2910</v>
      </c>
      <c r="I3" s="72">
        <v>20000</v>
      </c>
      <c r="J3" s="72">
        <v>87</v>
      </c>
      <c r="K3" s="72">
        <v>87</v>
      </c>
      <c r="L3" s="72">
        <v>1</v>
      </c>
      <c r="M3" s="72">
        <v>75000</v>
      </c>
      <c r="N3" s="72">
        <f t="shared" si="1"/>
        <v>1</v>
      </c>
      <c r="O3" s="72">
        <v>80.900000000000006</v>
      </c>
      <c r="P3" s="110">
        <v>0.87</v>
      </c>
      <c r="Q3" s="110">
        <v>31.45</v>
      </c>
      <c r="R3" s="105">
        <v>0.09</v>
      </c>
      <c r="S3" s="113"/>
    </row>
    <row r="4" spans="1:19" x14ac:dyDescent="0.2">
      <c r="A4" s="73" t="str">
        <f t="shared" si="0"/>
        <v>OF-T12-4FT-3L-34W</v>
      </c>
      <c r="B4" s="73" t="s">
        <v>210</v>
      </c>
      <c r="C4" s="72" t="s">
        <v>211</v>
      </c>
      <c r="D4" s="72" t="s">
        <v>212</v>
      </c>
      <c r="E4" s="72">
        <v>4</v>
      </c>
      <c r="F4" s="72">
        <v>3</v>
      </c>
      <c r="G4" s="72">
        <v>34</v>
      </c>
      <c r="H4" s="72">
        <v>2610</v>
      </c>
      <c r="I4" s="72">
        <v>20000</v>
      </c>
      <c r="J4" s="72">
        <v>108</v>
      </c>
      <c r="K4" s="72">
        <v>108</v>
      </c>
      <c r="L4" s="72">
        <v>1</v>
      </c>
      <c r="M4" s="72">
        <v>75000</v>
      </c>
      <c r="N4" s="72">
        <f t="shared" si="1"/>
        <v>1</v>
      </c>
      <c r="O4" s="72">
        <v>79.2</v>
      </c>
      <c r="P4" s="110">
        <v>0.4</v>
      </c>
      <c r="Q4" s="110">
        <v>37.450000000000003</v>
      </c>
      <c r="R4" s="105">
        <v>0.09</v>
      </c>
      <c r="S4" s="113"/>
    </row>
    <row r="5" spans="1:19" x14ac:dyDescent="0.2">
      <c r="A5" s="73" t="str">
        <f t="shared" si="0"/>
        <v>OF-T12-4FT-3L-40W</v>
      </c>
      <c r="B5" s="73" t="s">
        <v>210</v>
      </c>
      <c r="C5" s="72" t="s">
        <v>211</v>
      </c>
      <c r="D5" s="72" t="s">
        <v>212</v>
      </c>
      <c r="E5" s="72">
        <v>4</v>
      </c>
      <c r="F5" s="72">
        <v>3</v>
      </c>
      <c r="G5" s="72">
        <v>40</v>
      </c>
      <c r="H5" s="72">
        <v>2910</v>
      </c>
      <c r="I5" s="72">
        <v>20000</v>
      </c>
      <c r="J5" s="72">
        <v>131</v>
      </c>
      <c r="K5" s="72">
        <v>131</v>
      </c>
      <c r="L5" s="72">
        <v>1</v>
      </c>
      <c r="M5" s="72">
        <v>75000</v>
      </c>
      <c r="N5" s="72">
        <f t="shared" si="1"/>
        <v>1</v>
      </c>
      <c r="O5" s="72">
        <v>79.2</v>
      </c>
      <c r="P5" s="110">
        <v>0.87</v>
      </c>
      <c r="Q5" s="110">
        <v>37.450000000000003</v>
      </c>
      <c r="R5" s="105">
        <v>0.09</v>
      </c>
      <c r="S5" s="113"/>
    </row>
    <row r="6" spans="1:19" x14ac:dyDescent="0.2">
      <c r="A6" s="73" t="str">
        <f t="shared" si="0"/>
        <v>OF-T12-4FT-4L-34W</v>
      </c>
      <c r="B6" s="73" t="s">
        <v>210</v>
      </c>
      <c r="C6" s="72" t="s">
        <v>211</v>
      </c>
      <c r="D6" s="72" t="s">
        <v>212</v>
      </c>
      <c r="E6" s="72">
        <v>4</v>
      </c>
      <c r="F6" s="72">
        <v>4</v>
      </c>
      <c r="G6" s="72">
        <v>34</v>
      </c>
      <c r="H6" s="72">
        <v>2610</v>
      </c>
      <c r="I6" s="72">
        <v>20000</v>
      </c>
      <c r="J6" s="72">
        <v>144</v>
      </c>
      <c r="K6" s="72">
        <v>72</v>
      </c>
      <c r="L6" s="72">
        <v>2</v>
      </c>
      <c r="M6" s="72">
        <v>75000</v>
      </c>
      <c r="N6" s="72">
        <f t="shared" si="1"/>
        <v>1</v>
      </c>
      <c r="O6" s="72">
        <v>78.05</v>
      </c>
      <c r="P6" s="110">
        <v>0.4</v>
      </c>
      <c r="Q6" s="110">
        <v>31.45</v>
      </c>
      <c r="R6" s="105">
        <v>0.09</v>
      </c>
      <c r="S6" s="113"/>
    </row>
    <row r="7" spans="1:19" x14ac:dyDescent="0.2">
      <c r="A7" s="73" t="str">
        <f t="shared" si="0"/>
        <v>OF-T12-4FT-4L-40W</v>
      </c>
      <c r="B7" s="73" t="s">
        <v>210</v>
      </c>
      <c r="C7" s="72" t="s">
        <v>211</v>
      </c>
      <c r="D7" s="72" t="s">
        <v>212</v>
      </c>
      <c r="E7" s="72">
        <v>4</v>
      </c>
      <c r="F7" s="72">
        <v>4</v>
      </c>
      <c r="G7" s="72">
        <v>40</v>
      </c>
      <c r="H7" s="72">
        <v>2910</v>
      </c>
      <c r="I7" s="72">
        <v>20000</v>
      </c>
      <c r="J7" s="72">
        <v>174</v>
      </c>
      <c r="K7" s="72">
        <v>87</v>
      </c>
      <c r="L7" s="72">
        <v>2</v>
      </c>
      <c r="M7" s="72">
        <v>75000</v>
      </c>
      <c r="N7" s="72">
        <f t="shared" si="1"/>
        <v>1</v>
      </c>
      <c r="O7" s="72">
        <v>78.05</v>
      </c>
      <c r="P7" s="110">
        <v>0.87</v>
      </c>
      <c r="Q7" s="110">
        <v>31.45</v>
      </c>
      <c r="R7" s="105">
        <v>0.09</v>
      </c>
      <c r="S7" s="113"/>
    </row>
    <row r="8" spans="1:19" x14ac:dyDescent="0.2">
      <c r="A8" s="73" t="str">
        <f t="shared" si="0"/>
        <v>OF-T8-4FT-2L-32W</v>
      </c>
      <c r="B8" s="73" t="s">
        <v>213</v>
      </c>
      <c r="C8" s="72" t="s">
        <v>211</v>
      </c>
      <c r="D8" s="72" t="s">
        <v>214</v>
      </c>
      <c r="E8" s="72">
        <v>4</v>
      </c>
      <c r="F8" s="72">
        <v>2</v>
      </c>
      <c r="G8" s="72">
        <v>32</v>
      </c>
      <c r="H8" s="72">
        <v>2660</v>
      </c>
      <c r="I8" s="72">
        <v>36000</v>
      </c>
      <c r="J8" s="72">
        <v>62</v>
      </c>
      <c r="K8" s="72">
        <v>62</v>
      </c>
      <c r="L8" s="72">
        <v>1</v>
      </c>
      <c r="M8" s="72">
        <v>75000</v>
      </c>
      <c r="N8" s="72">
        <f t="shared" si="1"/>
        <v>0.96875</v>
      </c>
      <c r="O8" s="72">
        <v>80.900000000000006</v>
      </c>
      <c r="P8" s="110">
        <v>0.31</v>
      </c>
      <c r="Q8" s="110">
        <v>38.450000000000003</v>
      </c>
      <c r="R8" s="105">
        <v>0.13500000000000001</v>
      </c>
      <c r="S8" s="113"/>
    </row>
    <row r="9" spans="1:19" x14ac:dyDescent="0.2">
      <c r="A9" s="73" t="str">
        <f t="shared" si="0"/>
        <v>OF-T8-4FT-3L-32W</v>
      </c>
      <c r="B9" s="73" t="s">
        <v>213</v>
      </c>
      <c r="C9" s="72" t="s">
        <v>211</v>
      </c>
      <c r="D9" s="72" t="s">
        <v>214</v>
      </c>
      <c r="E9" s="72">
        <v>4</v>
      </c>
      <c r="F9" s="72">
        <v>3</v>
      </c>
      <c r="G9" s="72">
        <v>32</v>
      </c>
      <c r="H9" s="72">
        <v>2660</v>
      </c>
      <c r="I9" s="72">
        <v>36000</v>
      </c>
      <c r="J9" s="72">
        <v>93</v>
      </c>
      <c r="K9" s="72">
        <v>93</v>
      </c>
      <c r="L9" s="72">
        <v>1</v>
      </c>
      <c r="M9" s="72">
        <v>75000</v>
      </c>
      <c r="N9" s="72">
        <f t="shared" si="1"/>
        <v>0.96875</v>
      </c>
      <c r="O9" s="72">
        <v>79.2</v>
      </c>
      <c r="P9" s="110">
        <v>0.31</v>
      </c>
      <c r="Q9" s="110">
        <v>42.65</v>
      </c>
      <c r="R9" s="105">
        <v>0.13500000000000001</v>
      </c>
      <c r="S9" s="113"/>
    </row>
    <row r="10" spans="1:19" x14ac:dyDescent="0.2">
      <c r="A10" s="73" t="str">
        <f t="shared" si="0"/>
        <v>OF-T8-4FT-4L-32W</v>
      </c>
      <c r="B10" s="73" t="s">
        <v>213</v>
      </c>
      <c r="C10" s="72" t="s">
        <v>211</v>
      </c>
      <c r="D10" s="72" t="s">
        <v>214</v>
      </c>
      <c r="E10" s="72">
        <v>4</v>
      </c>
      <c r="F10" s="72">
        <v>4</v>
      </c>
      <c r="G10" s="72">
        <v>32</v>
      </c>
      <c r="H10" s="72">
        <v>2660</v>
      </c>
      <c r="I10" s="72">
        <v>36000</v>
      </c>
      <c r="J10" s="72">
        <v>124</v>
      </c>
      <c r="K10" s="72">
        <v>62</v>
      </c>
      <c r="L10" s="72">
        <v>2</v>
      </c>
      <c r="M10" s="72">
        <v>75000</v>
      </c>
      <c r="N10" s="72">
        <f t="shared" si="1"/>
        <v>0.96875</v>
      </c>
      <c r="O10" s="72">
        <v>78.05</v>
      </c>
      <c r="P10" s="110">
        <v>0.31</v>
      </c>
      <c r="Q10" s="110">
        <v>45.15</v>
      </c>
      <c r="R10" s="105">
        <v>0.13500000000000001</v>
      </c>
      <c r="S10" s="113"/>
    </row>
    <row r="11" spans="1:19" x14ac:dyDescent="0.2">
      <c r="A11" s="73" t="str">
        <f t="shared" si="0"/>
        <v>OF-T5-4FT-2L-28W</v>
      </c>
      <c r="B11" s="73" t="s">
        <v>215</v>
      </c>
      <c r="C11" s="72" t="s">
        <v>211</v>
      </c>
      <c r="D11" s="72" t="s">
        <v>216</v>
      </c>
      <c r="E11" s="72">
        <v>4</v>
      </c>
      <c r="F11" s="72">
        <v>2</v>
      </c>
      <c r="G11" s="72">
        <v>28</v>
      </c>
      <c r="H11" s="72">
        <v>2726</v>
      </c>
      <c r="I11" s="72">
        <v>36000</v>
      </c>
      <c r="J11" s="72">
        <v>58</v>
      </c>
      <c r="K11" s="72">
        <v>58</v>
      </c>
      <c r="L11" s="72">
        <v>1</v>
      </c>
      <c r="M11" s="72">
        <v>75000</v>
      </c>
      <c r="N11" s="72">
        <f t="shared" si="1"/>
        <v>1</v>
      </c>
      <c r="O11" s="72">
        <v>211.9</v>
      </c>
      <c r="P11" s="110">
        <v>10.4</v>
      </c>
      <c r="Q11" s="110">
        <v>64.599999999999994</v>
      </c>
      <c r="R11" s="105">
        <v>0.14000000000000001</v>
      </c>
      <c r="S11" s="113"/>
    </row>
    <row r="12" spans="1:19" x14ac:dyDescent="0.2">
      <c r="A12" s="73" t="str">
        <f t="shared" si="0"/>
        <v>HD-T12-4FT-2L-34W</v>
      </c>
      <c r="B12" s="73" t="s">
        <v>217</v>
      </c>
      <c r="C12" s="72" t="s">
        <v>218</v>
      </c>
      <c r="D12" s="72" t="s">
        <v>212</v>
      </c>
      <c r="E12" s="72">
        <v>4</v>
      </c>
      <c r="F12" s="72">
        <v>2</v>
      </c>
      <c r="G12" s="72">
        <v>34</v>
      </c>
      <c r="H12" s="72">
        <v>2610</v>
      </c>
      <c r="I12" s="72">
        <v>20000</v>
      </c>
      <c r="J12" s="72">
        <v>72</v>
      </c>
      <c r="K12" s="72">
        <v>72</v>
      </c>
      <c r="L12" s="72">
        <v>1</v>
      </c>
      <c r="M12" s="72">
        <v>75000</v>
      </c>
      <c r="N12" s="72">
        <f t="shared" si="1"/>
        <v>1</v>
      </c>
      <c r="O12" s="72">
        <v>92.95</v>
      </c>
      <c r="P12" s="110">
        <v>0.4</v>
      </c>
      <c r="Q12" s="110">
        <v>31.45</v>
      </c>
      <c r="R12" s="105">
        <v>0.09</v>
      </c>
      <c r="S12" s="113"/>
    </row>
    <row r="13" spans="1:19" x14ac:dyDescent="0.2">
      <c r="A13" s="73" t="str">
        <f t="shared" si="0"/>
        <v>HD-T12-4FT-2L-40W</v>
      </c>
      <c r="B13" s="73" t="s">
        <v>217</v>
      </c>
      <c r="C13" s="72" t="s">
        <v>218</v>
      </c>
      <c r="D13" s="72" t="s">
        <v>212</v>
      </c>
      <c r="E13" s="72">
        <v>4</v>
      </c>
      <c r="F13" s="72">
        <v>2</v>
      </c>
      <c r="G13" s="72">
        <v>40</v>
      </c>
      <c r="H13" s="72">
        <v>2910</v>
      </c>
      <c r="I13" s="72">
        <v>20000</v>
      </c>
      <c r="J13" s="72">
        <v>87</v>
      </c>
      <c r="K13" s="72">
        <v>87</v>
      </c>
      <c r="L13" s="72">
        <v>1</v>
      </c>
      <c r="M13" s="72">
        <v>75000</v>
      </c>
      <c r="N13" s="72">
        <f t="shared" si="1"/>
        <v>1</v>
      </c>
      <c r="O13" s="72">
        <v>92.95</v>
      </c>
      <c r="P13" s="110">
        <v>0.87</v>
      </c>
      <c r="Q13" s="110">
        <v>31.45</v>
      </c>
      <c r="R13" s="105">
        <v>0.09</v>
      </c>
      <c r="S13" s="113"/>
    </row>
    <row r="14" spans="1:19" x14ac:dyDescent="0.2">
      <c r="A14" s="73" t="str">
        <f t="shared" si="0"/>
        <v>HD-T12-8FT-2L-60W</v>
      </c>
      <c r="B14" s="73" t="s">
        <v>219</v>
      </c>
      <c r="C14" s="72" t="s">
        <v>218</v>
      </c>
      <c r="D14" s="72" t="s">
        <v>212</v>
      </c>
      <c r="E14" s="72">
        <v>8</v>
      </c>
      <c r="F14" s="72">
        <v>2</v>
      </c>
      <c r="G14" s="72">
        <v>60</v>
      </c>
      <c r="H14" s="72">
        <v>5060</v>
      </c>
      <c r="I14" s="72">
        <v>12000</v>
      </c>
      <c r="J14" s="72">
        <v>130</v>
      </c>
      <c r="K14" s="72">
        <v>130</v>
      </c>
      <c r="L14" s="72">
        <v>1</v>
      </c>
      <c r="M14" s="72">
        <v>75000</v>
      </c>
      <c r="N14" s="72">
        <f t="shared" si="1"/>
        <v>1</v>
      </c>
      <c r="O14" s="72">
        <v>155</v>
      </c>
      <c r="P14" s="110">
        <v>1.33</v>
      </c>
      <c r="Q14" s="110">
        <v>64.2</v>
      </c>
      <c r="R14" s="105">
        <v>0.09</v>
      </c>
      <c r="S14" s="113"/>
    </row>
    <row r="15" spans="1:19" x14ac:dyDescent="0.2">
      <c r="A15" s="73" t="str">
        <f t="shared" si="0"/>
        <v>HD-T12-8FT-2L-75W</v>
      </c>
      <c r="B15" s="73" t="s">
        <v>219</v>
      </c>
      <c r="C15" s="72" t="s">
        <v>218</v>
      </c>
      <c r="D15" s="72" t="s">
        <v>212</v>
      </c>
      <c r="E15" s="72">
        <v>8</v>
      </c>
      <c r="F15" s="72">
        <v>2</v>
      </c>
      <c r="G15" s="72">
        <v>75</v>
      </c>
      <c r="H15" s="72">
        <v>6110</v>
      </c>
      <c r="I15" s="72">
        <v>12000</v>
      </c>
      <c r="J15" s="72">
        <v>165</v>
      </c>
      <c r="K15" s="72">
        <v>165</v>
      </c>
      <c r="L15" s="72">
        <v>1</v>
      </c>
      <c r="M15" s="72">
        <v>75000</v>
      </c>
      <c r="N15" s="72">
        <f t="shared" si="1"/>
        <v>1</v>
      </c>
      <c r="O15" s="72">
        <v>155</v>
      </c>
      <c r="P15" s="110">
        <v>1.33</v>
      </c>
      <c r="Q15" s="110">
        <v>64.2</v>
      </c>
      <c r="R15" s="105">
        <v>0.09</v>
      </c>
      <c r="S15" s="113"/>
    </row>
    <row r="16" spans="1:19" x14ac:dyDescent="0.2">
      <c r="A16" s="73" t="str">
        <f t="shared" si="0"/>
        <v>HD-T12-8FT-2L-95W</v>
      </c>
      <c r="B16" s="73" t="s">
        <v>220</v>
      </c>
      <c r="C16" s="72" t="s">
        <v>218</v>
      </c>
      <c r="D16" s="72" t="s">
        <v>212</v>
      </c>
      <c r="E16" s="72">
        <v>8</v>
      </c>
      <c r="F16" s="72">
        <v>2</v>
      </c>
      <c r="G16" s="72">
        <v>95</v>
      </c>
      <c r="H16" s="72">
        <v>7520</v>
      </c>
      <c r="I16" s="72">
        <v>12000</v>
      </c>
      <c r="J16" s="72">
        <v>203</v>
      </c>
      <c r="K16" s="72">
        <v>203</v>
      </c>
      <c r="L16" s="72">
        <v>1</v>
      </c>
      <c r="M16" s="72">
        <v>75000</v>
      </c>
      <c r="N16" s="72">
        <f t="shared" si="1"/>
        <v>1</v>
      </c>
      <c r="O16" s="72">
        <v>155</v>
      </c>
      <c r="P16" s="110">
        <v>1.33</v>
      </c>
      <c r="Q16" s="110">
        <v>80.099999999999994</v>
      </c>
      <c r="R16" s="105">
        <v>0.09</v>
      </c>
      <c r="S16" s="113"/>
    </row>
    <row r="17" spans="1:19" x14ac:dyDescent="0.2">
      <c r="A17" s="73" t="str">
        <f t="shared" si="0"/>
        <v>HD-T12-8FT-2L-110W</v>
      </c>
      <c r="B17" s="73" t="s">
        <v>220</v>
      </c>
      <c r="C17" s="72" t="s">
        <v>218</v>
      </c>
      <c r="D17" s="72" t="s">
        <v>212</v>
      </c>
      <c r="E17" s="72">
        <v>8</v>
      </c>
      <c r="F17" s="72">
        <v>2</v>
      </c>
      <c r="G17" s="72">
        <v>110</v>
      </c>
      <c r="H17" s="72">
        <v>8280</v>
      </c>
      <c r="I17" s="72">
        <v>12000</v>
      </c>
      <c r="J17" s="72">
        <v>237</v>
      </c>
      <c r="K17" s="72">
        <v>237</v>
      </c>
      <c r="L17" s="72">
        <v>1</v>
      </c>
      <c r="M17" s="72">
        <v>75000</v>
      </c>
      <c r="N17" s="72">
        <f t="shared" si="1"/>
        <v>1</v>
      </c>
      <c r="O17" s="72">
        <v>155</v>
      </c>
      <c r="P17" s="110">
        <v>2</v>
      </c>
      <c r="Q17" s="110">
        <v>80.099999999999994</v>
      </c>
      <c r="R17" s="105">
        <v>0.09</v>
      </c>
      <c r="S17" s="113"/>
    </row>
    <row r="18" spans="1:19" x14ac:dyDescent="0.2">
      <c r="A18" s="73" t="str">
        <f t="shared" si="0"/>
        <v>HD-T12-8FT-2L-185W</v>
      </c>
      <c r="B18" s="73" t="s">
        <v>221</v>
      </c>
      <c r="C18" s="72" t="s">
        <v>218</v>
      </c>
      <c r="D18" s="72" t="s">
        <v>212</v>
      </c>
      <c r="E18" s="72">
        <v>8</v>
      </c>
      <c r="F18" s="72">
        <v>2</v>
      </c>
      <c r="G18" s="72">
        <v>185</v>
      </c>
      <c r="H18" s="72">
        <v>9380</v>
      </c>
      <c r="I18" s="72">
        <v>9000</v>
      </c>
      <c r="J18" s="72">
        <v>402</v>
      </c>
      <c r="K18" s="72">
        <v>402</v>
      </c>
      <c r="L18" s="72">
        <v>1</v>
      </c>
      <c r="M18" s="72">
        <v>75000</v>
      </c>
      <c r="N18" s="72">
        <f t="shared" si="1"/>
        <v>1</v>
      </c>
      <c r="O18" s="72">
        <v>188.75</v>
      </c>
      <c r="P18" s="110">
        <v>2</v>
      </c>
      <c r="Q18" s="110">
        <v>103.8</v>
      </c>
      <c r="R18" s="105">
        <v>0.09</v>
      </c>
      <c r="S18" s="113"/>
    </row>
    <row r="19" spans="1:19" x14ac:dyDescent="0.2">
      <c r="A19" s="73" t="str">
        <f t="shared" si="0"/>
        <v>HD-T12-8FT-2L-215W</v>
      </c>
      <c r="B19" s="73" t="s">
        <v>221</v>
      </c>
      <c r="C19" s="72" t="s">
        <v>218</v>
      </c>
      <c r="D19" s="72" t="s">
        <v>212</v>
      </c>
      <c r="E19" s="72">
        <v>8</v>
      </c>
      <c r="F19" s="72">
        <v>2</v>
      </c>
      <c r="G19" s="72">
        <v>215</v>
      </c>
      <c r="H19" s="72">
        <v>10125</v>
      </c>
      <c r="I19" s="72">
        <v>10000</v>
      </c>
      <c r="J19" s="72">
        <v>467</v>
      </c>
      <c r="K19" s="72">
        <v>467</v>
      </c>
      <c r="L19" s="72">
        <v>1</v>
      </c>
      <c r="M19" s="72">
        <v>75000</v>
      </c>
      <c r="N19" s="72">
        <f t="shared" si="1"/>
        <v>1</v>
      </c>
      <c r="O19" s="72">
        <v>188.75</v>
      </c>
      <c r="P19" s="110">
        <v>2.8</v>
      </c>
      <c r="Q19" s="110">
        <v>103.8</v>
      </c>
      <c r="R19" s="105">
        <v>0.09</v>
      </c>
      <c r="S19" s="113"/>
    </row>
    <row r="20" spans="1:19" x14ac:dyDescent="0.2">
      <c r="A20" s="73" t="str">
        <f t="shared" si="0"/>
        <v>HD-T12-8FT-2L-220W</v>
      </c>
      <c r="B20" s="73" t="s">
        <v>221</v>
      </c>
      <c r="C20" s="72" t="s">
        <v>218</v>
      </c>
      <c r="D20" s="72" t="s">
        <v>212</v>
      </c>
      <c r="E20" s="72">
        <v>8</v>
      </c>
      <c r="F20" s="72">
        <v>2</v>
      </c>
      <c r="G20" s="72">
        <v>220</v>
      </c>
      <c r="H20" s="72">
        <v>10600</v>
      </c>
      <c r="I20" s="72">
        <v>10000</v>
      </c>
      <c r="J20" s="72">
        <v>478</v>
      </c>
      <c r="K20" s="72">
        <v>478</v>
      </c>
      <c r="L20" s="72">
        <v>1</v>
      </c>
      <c r="M20" s="72">
        <v>75000</v>
      </c>
      <c r="N20" s="72">
        <f t="shared" si="1"/>
        <v>1</v>
      </c>
      <c r="O20" s="72">
        <v>188.75</v>
      </c>
      <c r="P20" s="110">
        <v>3.67</v>
      </c>
      <c r="Q20" s="110">
        <v>103.8</v>
      </c>
      <c r="R20" s="105">
        <v>0.09</v>
      </c>
      <c r="S20" s="113"/>
    </row>
    <row r="21" spans="1:19" x14ac:dyDescent="0.2">
      <c r="A21" s="73" t="str">
        <f t="shared" si="0"/>
        <v>HD-T8-4FT-2L-32W</v>
      </c>
      <c r="B21" s="73" t="s">
        <v>222</v>
      </c>
      <c r="C21" s="72" t="s">
        <v>218</v>
      </c>
      <c r="D21" s="72" t="s">
        <v>214</v>
      </c>
      <c r="E21" s="72">
        <v>4</v>
      </c>
      <c r="F21" s="72">
        <v>2</v>
      </c>
      <c r="G21" s="72">
        <v>32</v>
      </c>
      <c r="H21" s="72">
        <v>2660</v>
      </c>
      <c r="I21" s="72">
        <v>36000</v>
      </c>
      <c r="J21" s="72">
        <v>62</v>
      </c>
      <c r="K21" s="72">
        <v>62</v>
      </c>
      <c r="L21" s="72">
        <v>1</v>
      </c>
      <c r="M21" s="72">
        <v>75000</v>
      </c>
      <c r="N21" s="72">
        <f t="shared" si="1"/>
        <v>0.96875</v>
      </c>
      <c r="O21" s="72">
        <v>92.95</v>
      </c>
      <c r="P21" s="110">
        <v>0.31</v>
      </c>
      <c r="Q21" s="110">
        <v>38.450000000000003</v>
      </c>
      <c r="R21" s="105">
        <v>0.13500000000000001</v>
      </c>
      <c r="S21" s="113"/>
    </row>
    <row r="22" spans="1:19" x14ac:dyDescent="0.2">
      <c r="A22" s="73" t="str">
        <f t="shared" si="0"/>
        <v>HD-T8-4FT-4L-32W</v>
      </c>
      <c r="B22" s="73" t="s">
        <v>222</v>
      </c>
      <c r="C22" s="72" t="s">
        <v>218</v>
      </c>
      <c r="D22" s="72" t="s">
        <v>214</v>
      </c>
      <c r="E22" s="72">
        <v>4</v>
      </c>
      <c r="F22" s="72">
        <v>4</v>
      </c>
      <c r="G22" s="72">
        <v>32</v>
      </c>
      <c r="H22" s="72">
        <v>2660</v>
      </c>
      <c r="I22" s="72">
        <v>36000</v>
      </c>
      <c r="J22" s="72">
        <v>112</v>
      </c>
      <c r="K22" s="72">
        <v>112</v>
      </c>
      <c r="L22" s="72">
        <v>1</v>
      </c>
      <c r="M22" s="72">
        <v>75000</v>
      </c>
      <c r="N22" s="72">
        <f t="shared" si="1"/>
        <v>0.875</v>
      </c>
      <c r="O22" s="72">
        <v>166.75</v>
      </c>
      <c r="P22" s="110">
        <v>0.31</v>
      </c>
      <c r="Q22" s="110">
        <v>41.85</v>
      </c>
      <c r="R22" s="105">
        <v>0.13500000000000001</v>
      </c>
      <c r="S22" s="113"/>
    </row>
    <row r="23" spans="1:19" x14ac:dyDescent="0.2">
      <c r="A23" s="73" t="str">
        <f t="shared" si="0"/>
        <v>HD-T8-8FT-2L-59W</v>
      </c>
      <c r="B23" s="73" t="s">
        <v>223</v>
      </c>
      <c r="C23" s="72" t="s">
        <v>218</v>
      </c>
      <c r="D23" s="72" t="s">
        <v>214</v>
      </c>
      <c r="E23" s="72">
        <v>8</v>
      </c>
      <c r="F23" s="72">
        <v>2</v>
      </c>
      <c r="G23" s="72">
        <v>59</v>
      </c>
      <c r="H23" s="72">
        <v>5500</v>
      </c>
      <c r="I23" s="72">
        <v>20000</v>
      </c>
      <c r="J23" s="72">
        <v>110</v>
      </c>
      <c r="K23" s="72">
        <v>110</v>
      </c>
      <c r="L23" s="72">
        <v>1</v>
      </c>
      <c r="M23" s="72">
        <v>75000</v>
      </c>
      <c r="N23" s="72">
        <f t="shared" si="1"/>
        <v>0.93220338983050843</v>
      </c>
      <c r="O23" s="72">
        <v>175</v>
      </c>
      <c r="P23" s="110">
        <v>1.31</v>
      </c>
      <c r="Q23" s="110">
        <v>54.25</v>
      </c>
      <c r="R23" s="105">
        <v>0.13500000000000001</v>
      </c>
      <c r="S23" s="113"/>
    </row>
    <row r="24" spans="1:19" x14ac:dyDescent="0.2">
      <c r="A24" s="73" t="str">
        <f t="shared" si="0"/>
        <v>HD-T8-8FT-2L-86W</v>
      </c>
      <c r="B24" s="73" t="s">
        <v>223</v>
      </c>
      <c r="C24" s="72" t="s">
        <v>218</v>
      </c>
      <c r="D24" s="72" t="s">
        <v>214</v>
      </c>
      <c r="E24" s="72">
        <v>8</v>
      </c>
      <c r="F24" s="72">
        <v>2</v>
      </c>
      <c r="G24" s="72">
        <v>86</v>
      </c>
      <c r="H24" s="72">
        <v>7600</v>
      </c>
      <c r="I24" s="72">
        <v>18000</v>
      </c>
      <c r="J24" s="72">
        <v>160</v>
      </c>
      <c r="K24" s="72">
        <v>160</v>
      </c>
      <c r="L24" s="72">
        <v>1</v>
      </c>
      <c r="M24" s="72">
        <v>75000</v>
      </c>
      <c r="N24" s="72">
        <f t="shared" si="1"/>
        <v>0.93023255813953487</v>
      </c>
      <c r="O24" s="72">
        <v>184.5</v>
      </c>
      <c r="P24" s="110">
        <v>2.38</v>
      </c>
      <c r="Q24" s="110">
        <v>93.95</v>
      </c>
      <c r="R24" s="105">
        <v>0.13500000000000001</v>
      </c>
      <c r="S24" s="113"/>
    </row>
    <row r="25" spans="1:19" x14ac:dyDescent="0.2">
      <c r="A25" s="73" t="str">
        <f t="shared" si="0"/>
        <v>GP-T12-4FT-2L-34W</v>
      </c>
      <c r="B25" s="73" t="s">
        <v>224</v>
      </c>
      <c r="C25" s="72" t="s">
        <v>225</v>
      </c>
      <c r="D25" s="72" t="s">
        <v>212</v>
      </c>
      <c r="E25" s="72">
        <v>4</v>
      </c>
      <c r="F25" s="72">
        <v>2</v>
      </c>
      <c r="G25" s="72">
        <v>34</v>
      </c>
      <c r="H25" s="72">
        <v>2650</v>
      </c>
      <c r="I25" s="72">
        <v>20000</v>
      </c>
      <c r="J25" s="72">
        <v>72</v>
      </c>
      <c r="K25" s="72">
        <v>72</v>
      </c>
      <c r="L25" s="72">
        <v>1</v>
      </c>
      <c r="M25" s="72">
        <v>75000</v>
      </c>
      <c r="N25" s="72">
        <f t="shared" si="1"/>
        <v>1</v>
      </c>
      <c r="O25" s="72">
        <v>58</v>
      </c>
      <c r="P25" s="110">
        <v>0.4</v>
      </c>
      <c r="Q25" s="110">
        <v>31.45</v>
      </c>
      <c r="R25" s="105">
        <v>0.09</v>
      </c>
      <c r="S25" s="113"/>
    </row>
    <row r="26" spans="1:19" x14ac:dyDescent="0.2">
      <c r="A26" s="73" t="str">
        <f t="shared" si="0"/>
        <v>GP-T12-4FT-2L-40W</v>
      </c>
      <c r="B26" s="73" t="s">
        <v>224</v>
      </c>
      <c r="C26" s="72" t="s">
        <v>225</v>
      </c>
      <c r="D26" s="72" t="s">
        <v>212</v>
      </c>
      <c r="E26" s="72">
        <v>4</v>
      </c>
      <c r="F26" s="72">
        <v>2</v>
      </c>
      <c r="G26" s="72">
        <v>40</v>
      </c>
      <c r="H26" s="72">
        <v>2910</v>
      </c>
      <c r="I26" s="72">
        <v>20000</v>
      </c>
      <c r="J26" s="72">
        <v>87</v>
      </c>
      <c r="K26" s="72">
        <v>87</v>
      </c>
      <c r="L26" s="72">
        <v>1</v>
      </c>
      <c r="M26" s="72">
        <v>75000</v>
      </c>
      <c r="N26" s="72">
        <f t="shared" si="1"/>
        <v>1</v>
      </c>
      <c r="O26" s="72">
        <v>58</v>
      </c>
      <c r="P26" s="110">
        <v>0.87</v>
      </c>
      <c r="Q26" s="110">
        <v>31.45</v>
      </c>
      <c r="R26" s="105">
        <v>0.09</v>
      </c>
      <c r="S26" s="113"/>
    </row>
    <row r="27" spans="1:19" x14ac:dyDescent="0.2">
      <c r="A27" s="73" t="str">
        <f t="shared" si="0"/>
        <v>GP-T12-8FT-2L-60W</v>
      </c>
      <c r="B27" s="73" t="s">
        <v>226</v>
      </c>
      <c r="C27" s="72" t="s">
        <v>225</v>
      </c>
      <c r="D27" s="72" t="s">
        <v>212</v>
      </c>
      <c r="E27" s="72">
        <v>8</v>
      </c>
      <c r="F27" s="72">
        <v>2</v>
      </c>
      <c r="G27" s="72">
        <v>60</v>
      </c>
      <c r="H27" s="72">
        <v>5060</v>
      </c>
      <c r="I27" s="72">
        <v>12000</v>
      </c>
      <c r="J27" s="72">
        <v>130</v>
      </c>
      <c r="K27" s="72">
        <v>130</v>
      </c>
      <c r="L27" s="72">
        <v>1</v>
      </c>
      <c r="M27" s="72">
        <v>75000</v>
      </c>
      <c r="N27" s="72">
        <f t="shared" si="1"/>
        <v>1</v>
      </c>
      <c r="O27" s="72">
        <v>90.3</v>
      </c>
      <c r="P27" s="110">
        <v>1.33</v>
      </c>
      <c r="Q27" s="110">
        <v>64.2</v>
      </c>
      <c r="R27" s="105">
        <v>0.09</v>
      </c>
      <c r="S27" s="113"/>
    </row>
    <row r="28" spans="1:19" x14ac:dyDescent="0.2">
      <c r="A28" s="73" t="str">
        <f t="shared" si="0"/>
        <v>GP-T12-8FT-2L-75W</v>
      </c>
      <c r="B28" s="73" t="s">
        <v>226</v>
      </c>
      <c r="C28" s="72" t="s">
        <v>225</v>
      </c>
      <c r="D28" s="72" t="s">
        <v>212</v>
      </c>
      <c r="E28" s="72">
        <v>8</v>
      </c>
      <c r="F28" s="72">
        <v>2</v>
      </c>
      <c r="G28" s="72">
        <v>75</v>
      </c>
      <c r="H28" s="72">
        <v>6110</v>
      </c>
      <c r="I28" s="72">
        <v>12000</v>
      </c>
      <c r="J28" s="72">
        <v>165</v>
      </c>
      <c r="K28" s="72">
        <v>165</v>
      </c>
      <c r="L28" s="72">
        <v>1</v>
      </c>
      <c r="M28" s="72">
        <v>75000</v>
      </c>
      <c r="N28" s="72">
        <f t="shared" si="1"/>
        <v>1</v>
      </c>
      <c r="O28" s="72">
        <v>90.3</v>
      </c>
      <c r="P28" s="110">
        <v>1.33</v>
      </c>
      <c r="Q28" s="110">
        <v>64.2</v>
      </c>
      <c r="R28" s="105">
        <v>0.09</v>
      </c>
      <c r="S28" s="113"/>
    </row>
    <row r="29" spans="1:19" x14ac:dyDescent="0.2">
      <c r="A29" s="73" t="str">
        <f t="shared" si="0"/>
        <v>GP-T12-8FT-2L-95W</v>
      </c>
      <c r="B29" s="73" t="s">
        <v>227</v>
      </c>
      <c r="C29" s="72" t="s">
        <v>225</v>
      </c>
      <c r="D29" s="72" t="s">
        <v>212</v>
      </c>
      <c r="E29" s="72">
        <v>8</v>
      </c>
      <c r="F29" s="72">
        <v>2</v>
      </c>
      <c r="G29" s="72">
        <v>95</v>
      </c>
      <c r="H29" s="72">
        <v>7520</v>
      </c>
      <c r="I29" s="72">
        <v>12000</v>
      </c>
      <c r="J29" s="72">
        <v>203</v>
      </c>
      <c r="K29" s="72">
        <v>203</v>
      </c>
      <c r="L29" s="72">
        <v>1</v>
      </c>
      <c r="M29" s="72">
        <v>75000</v>
      </c>
      <c r="N29" s="72">
        <f t="shared" si="1"/>
        <v>1</v>
      </c>
      <c r="O29" s="72">
        <v>110.05</v>
      </c>
      <c r="P29" s="110">
        <v>1.33</v>
      </c>
      <c r="Q29" s="110">
        <v>80.099999999999994</v>
      </c>
      <c r="R29" s="105">
        <v>0.09</v>
      </c>
      <c r="S29" s="113"/>
    </row>
    <row r="30" spans="1:19" x14ac:dyDescent="0.2">
      <c r="A30" s="73" t="str">
        <f t="shared" si="0"/>
        <v>GP-T12-8FT-2L-110W</v>
      </c>
      <c r="B30" s="73" t="s">
        <v>227</v>
      </c>
      <c r="C30" s="72" t="s">
        <v>225</v>
      </c>
      <c r="D30" s="72" t="s">
        <v>212</v>
      </c>
      <c r="E30" s="72">
        <v>8</v>
      </c>
      <c r="F30" s="72">
        <v>2</v>
      </c>
      <c r="G30" s="72">
        <v>110</v>
      </c>
      <c r="H30" s="72">
        <v>8280</v>
      </c>
      <c r="I30" s="72">
        <v>12000</v>
      </c>
      <c r="J30" s="72">
        <v>237</v>
      </c>
      <c r="K30" s="72">
        <v>237</v>
      </c>
      <c r="L30" s="72">
        <v>1</v>
      </c>
      <c r="M30" s="72">
        <v>75000</v>
      </c>
      <c r="N30" s="72">
        <f t="shared" si="1"/>
        <v>1</v>
      </c>
      <c r="O30" s="72">
        <v>110.05</v>
      </c>
      <c r="P30" s="110">
        <v>2</v>
      </c>
      <c r="Q30" s="110">
        <v>80.099999999999994</v>
      </c>
      <c r="R30" s="105">
        <v>0.09</v>
      </c>
      <c r="S30" s="113"/>
    </row>
    <row r="31" spans="1:19" x14ac:dyDescent="0.2">
      <c r="A31" s="73" t="str">
        <f t="shared" si="0"/>
        <v>GP-T12-8FT-4L-75W</v>
      </c>
      <c r="B31" s="73" t="s">
        <v>227</v>
      </c>
      <c r="C31" s="72" t="s">
        <v>225</v>
      </c>
      <c r="D31" s="72" t="s">
        <v>212</v>
      </c>
      <c r="E31" s="72">
        <v>8</v>
      </c>
      <c r="F31" s="72">
        <v>4</v>
      </c>
      <c r="G31" s="72">
        <v>75</v>
      </c>
      <c r="H31" s="72">
        <v>6110</v>
      </c>
      <c r="I31" s="72">
        <v>12000</v>
      </c>
      <c r="J31" s="72">
        <v>330</v>
      </c>
      <c r="K31" s="72">
        <v>165</v>
      </c>
      <c r="L31" s="72">
        <v>2</v>
      </c>
      <c r="M31" s="72">
        <v>75000</v>
      </c>
      <c r="N31" s="72">
        <f t="shared" si="1"/>
        <v>1</v>
      </c>
      <c r="O31" s="72">
        <v>182.6</v>
      </c>
      <c r="P31" s="110">
        <v>1.33</v>
      </c>
      <c r="Q31" s="110">
        <v>64.2</v>
      </c>
      <c r="R31" s="105">
        <v>0.09</v>
      </c>
      <c r="S31" s="113"/>
    </row>
    <row r="32" spans="1:19" x14ac:dyDescent="0.2">
      <c r="A32" s="73" t="str">
        <f t="shared" si="0"/>
        <v>GP-T8-4FT-1L-32W</v>
      </c>
      <c r="B32" s="73" t="s">
        <v>228</v>
      </c>
      <c r="C32" s="72" t="s">
        <v>225</v>
      </c>
      <c r="D32" s="72" t="s">
        <v>214</v>
      </c>
      <c r="E32" s="72">
        <v>4</v>
      </c>
      <c r="F32" s="72">
        <v>1</v>
      </c>
      <c r="G32" s="72">
        <v>32</v>
      </c>
      <c r="H32" s="72">
        <v>2660</v>
      </c>
      <c r="I32" s="72">
        <v>36000</v>
      </c>
      <c r="J32" s="72">
        <v>28</v>
      </c>
      <c r="K32" s="72"/>
      <c r="L32" s="72">
        <v>1</v>
      </c>
      <c r="M32" s="72">
        <v>75000</v>
      </c>
      <c r="N32" s="72">
        <f t="shared" si="1"/>
        <v>0.875</v>
      </c>
      <c r="O32" s="72">
        <v>56.35</v>
      </c>
      <c r="P32" s="110">
        <v>0.31</v>
      </c>
      <c r="Q32" s="110">
        <v>32.799999999999997</v>
      </c>
      <c r="R32" s="105">
        <v>0.13500000000000001</v>
      </c>
      <c r="S32" s="113"/>
    </row>
    <row r="33" spans="1:19" x14ac:dyDescent="0.2">
      <c r="A33" s="73" t="str">
        <f t="shared" si="0"/>
        <v>GP-T8-4FT-2L-32W</v>
      </c>
      <c r="B33" s="73" t="s">
        <v>228</v>
      </c>
      <c r="C33" s="72" t="s">
        <v>225</v>
      </c>
      <c r="D33" s="72" t="s">
        <v>214</v>
      </c>
      <c r="E33" s="72">
        <v>4</v>
      </c>
      <c r="F33" s="72">
        <v>2</v>
      </c>
      <c r="G33" s="72">
        <v>32</v>
      </c>
      <c r="H33" s="72">
        <v>2660</v>
      </c>
      <c r="I33" s="72">
        <v>36000</v>
      </c>
      <c r="J33" s="72">
        <v>62</v>
      </c>
      <c r="K33" s="72">
        <v>62</v>
      </c>
      <c r="L33" s="72">
        <v>1</v>
      </c>
      <c r="M33" s="72">
        <v>75000</v>
      </c>
      <c r="N33" s="72">
        <f t="shared" si="1"/>
        <v>0.96875</v>
      </c>
      <c r="O33" s="72">
        <v>58</v>
      </c>
      <c r="P33" s="110">
        <v>0.31</v>
      </c>
      <c r="Q33" s="110">
        <v>32.799999999999997</v>
      </c>
      <c r="R33" s="105">
        <v>0.13500000000000001</v>
      </c>
      <c r="S33" s="113"/>
    </row>
    <row r="34" spans="1:19" x14ac:dyDescent="0.2">
      <c r="A34" s="73" t="str">
        <f t="shared" ref="A34:A65" si="2">IF(C34="","",""&amp;C34&amp;"-"&amp;D34&amp;"-"&amp;E34&amp;"FT-"&amp;F34&amp;"L-"&amp;G34&amp;"W")</f>
        <v>GP-T8-4FT-4L-32W</v>
      </c>
      <c r="B34" s="73" t="s">
        <v>228</v>
      </c>
      <c r="C34" s="72" t="s">
        <v>225</v>
      </c>
      <c r="D34" s="72" t="s">
        <v>214</v>
      </c>
      <c r="E34" s="72">
        <v>4</v>
      </c>
      <c r="F34" s="72">
        <v>4</v>
      </c>
      <c r="G34" s="72">
        <v>32</v>
      </c>
      <c r="H34" s="72">
        <v>2660</v>
      </c>
      <c r="I34" s="72">
        <v>36000</v>
      </c>
      <c r="J34" s="72">
        <v>112</v>
      </c>
      <c r="K34" s="72">
        <v>112</v>
      </c>
      <c r="L34" s="72">
        <v>1</v>
      </c>
      <c r="M34" s="72">
        <v>75000</v>
      </c>
      <c r="N34" s="72">
        <f t="shared" ref="N34:N58" si="3">IF(J34="","",IF(J34/(G34*F34)&gt;1,1,J34/(G34*F34)))</f>
        <v>0.875</v>
      </c>
      <c r="O34" s="72">
        <v>103.55</v>
      </c>
      <c r="P34" s="110">
        <v>0.31</v>
      </c>
      <c r="Q34" s="110">
        <v>41.85</v>
      </c>
      <c r="R34" s="105">
        <v>0.13500000000000001</v>
      </c>
      <c r="S34" s="113"/>
    </row>
    <row r="35" spans="1:19" x14ac:dyDescent="0.2">
      <c r="A35" s="73" t="str">
        <f t="shared" si="2"/>
        <v>GP-T8-8FT-2L-59W</v>
      </c>
      <c r="B35" s="73" t="s">
        <v>229</v>
      </c>
      <c r="C35" s="72" t="s">
        <v>225</v>
      </c>
      <c r="D35" s="72" t="s">
        <v>214</v>
      </c>
      <c r="E35" s="72">
        <v>8</v>
      </c>
      <c r="F35" s="72">
        <v>2</v>
      </c>
      <c r="G35" s="72">
        <v>59</v>
      </c>
      <c r="H35" s="72">
        <v>5500</v>
      </c>
      <c r="I35" s="72">
        <v>20000</v>
      </c>
      <c r="J35" s="72">
        <v>110</v>
      </c>
      <c r="K35" s="72">
        <v>110</v>
      </c>
      <c r="L35" s="72">
        <v>1</v>
      </c>
      <c r="M35" s="72">
        <v>75000</v>
      </c>
      <c r="N35" s="72">
        <f t="shared" si="3"/>
        <v>0.93220338983050843</v>
      </c>
      <c r="O35" s="72">
        <v>90.3</v>
      </c>
      <c r="P35" s="110">
        <v>1.31</v>
      </c>
      <c r="Q35" s="110">
        <v>44.9</v>
      </c>
      <c r="R35" s="105">
        <v>0.13500000000000001</v>
      </c>
      <c r="S35" s="113"/>
    </row>
    <row r="36" spans="1:19" x14ac:dyDescent="0.2">
      <c r="A36" s="73" t="str">
        <f t="shared" si="2"/>
        <v>GP-T8-8FT-2L-86W</v>
      </c>
      <c r="B36" s="73" t="s">
        <v>229</v>
      </c>
      <c r="C36" s="72" t="s">
        <v>225</v>
      </c>
      <c r="D36" s="72" t="s">
        <v>214</v>
      </c>
      <c r="E36" s="72">
        <v>8</v>
      </c>
      <c r="F36" s="72">
        <v>2</v>
      </c>
      <c r="G36" s="72">
        <v>86</v>
      </c>
      <c r="H36" s="72">
        <v>7600</v>
      </c>
      <c r="I36" s="72">
        <v>18000</v>
      </c>
      <c r="J36" s="72">
        <v>160</v>
      </c>
      <c r="K36" s="72">
        <v>160</v>
      </c>
      <c r="L36" s="72">
        <v>1</v>
      </c>
      <c r="M36" s="72">
        <v>75000</v>
      </c>
      <c r="N36" s="72">
        <f t="shared" si="3"/>
        <v>0.93023255813953487</v>
      </c>
      <c r="O36" s="72">
        <v>156.25</v>
      </c>
      <c r="P36" s="110">
        <v>2.38</v>
      </c>
      <c r="Q36" s="110">
        <v>44.9</v>
      </c>
      <c r="R36" s="105">
        <v>0.13500000000000001</v>
      </c>
      <c r="S36" s="113"/>
    </row>
    <row r="37" spans="1:19" x14ac:dyDescent="0.2">
      <c r="A37" s="73" t="str">
        <f t="shared" si="2"/>
        <v>CR-T8-4FT-4L-32W</v>
      </c>
      <c r="B37" s="73" t="s">
        <v>230</v>
      </c>
      <c r="C37" s="72" t="s">
        <v>231</v>
      </c>
      <c r="D37" s="72" t="s">
        <v>214</v>
      </c>
      <c r="E37" s="72">
        <v>4</v>
      </c>
      <c r="F37" s="72">
        <v>4</v>
      </c>
      <c r="G37" s="72">
        <v>32</v>
      </c>
      <c r="H37" s="72">
        <v>2660</v>
      </c>
      <c r="I37" s="72">
        <v>36000</v>
      </c>
      <c r="J37" s="72">
        <v>112</v>
      </c>
      <c r="K37" s="72">
        <v>112</v>
      </c>
      <c r="L37" s="72">
        <v>1</v>
      </c>
      <c r="M37" s="72">
        <v>75000</v>
      </c>
      <c r="N37" s="72">
        <f t="shared" si="3"/>
        <v>0.875</v>
      </c>
      <c r="O37" s="72">
        <v>325</v>
      </c>
      <c r="P37" s="110">
        <v>0.31</v>
      </c>
      <c r="Q37" s="110">
        <v>32.799999999999997</v>
      </c>
      <c r="R37" s="105">
        <v>0.13500000000000001</v>
      </c>
      <c r="S37" s="113"/>
    </row>
    <row r="38" spans="1:19" x14ac:dyDescent="0.2">
      <c r="A38" s="73" t="str">
        <f t="shared" si="2"/>
        <v>WL-T12-4FT-2L-40W</v>
      </c>
      <c r="B38" s="73" t="s">
        <v>232</v>
      </c>
      <c r="C38" s="72" t="s">
        <v>233</v>
      </c>
      <c r="D38" s="72" t="s">
        <v>212</v>
      </c>
      <c r="E38" s="72">
        <v>4</v>
      </c>
      <c r="F38" s="72">
        <v>2</v>
      </c>
      <c r="G38" s="72">
        <v>40</v>
      </c>
      <c r="H38" s="72">
        <v>2910</v>
      </c>
      <c r="I38" s="72">
        <v>20000</v>
      </c>
      <c r="J38" s="72">
        <v>87</v>
      </c>
      <c r="K38" s="72">
        <v>87</v>
      </c>
      <c r="L38" s="72">
        <v>1</v>
      </c>
      <c r="M38" s="72">
        <v>75000</v>
      </c>
      <c r="N38" s="72">
        <f t="shared" si="3"/>
        <v>1</v>
      </c>
      <c r="O38" s="72">
        <v>184.25</v>
      </c>
      <c r="P38" s="110">
        <v>0.87</v>
      </c>
      <c r="Q38" s="110">
        <v>31.45</v>
      </c>
      <c r="R38" s="105">
        <v>0.09</v>
      </c>
      <c r="S38" s="113"/>
    </row>
    <row r="39" spans="1:19" x14ac:dyDescent="0.2">
      <c r="A39" s="73" t="str">
        <f t="shared" si="2"/>
        <v>WL-T12-4FT-2L-60W</v>
      </c>
      <c r="B39" s="73" t="s">
        <v>232</v>
      </c>
      <c r="C39" s="72" t="s">
        <v>233</v>
      </c>
      <c r="D39" s="72" t="s">
        <v>212</v>
      </c>
      <c r="E39" s="72">
        <v>4</v>
      </c>
      <c r="F39" s="72">
        <v>2</v>
      </c>
      <c r="G39" s="72">
        <v>60</v>
      </c>
      <c r="H39" s="72">
        <v>3320</v>
      </c>
      <c r="I39" s="72">
        <v>12000</v>
      </c>
      <c r="J39" s="72">
        <v>125</v>
      </c>
      <c r="K39" s="72">
        <v>125</v>
      </c>
      <c r="L39" s="72">
        <v>1</v>
      </c>
      <c r="M39" s="72">
        <v>75000</v>
      </c>
      <c r="N39" s="72">
        <f t="shared" si="3"/>
        <v>1</v>
      </c>
      <c r="O39" s="72">
        <v>184.25</v>
      </c>
      <c r="P39" s="110">
        <v>1.33</v>
      </c>
      <c r="Q39" s="110">
        <v>31.45</v>
      </c>
      <c r="R39" s="105">
        <v>0.09</v>
      </c>
      <c r="S39" s="113"/>
    </row>
    <row r="40" spans="1:19" x14ac:dyDescent="0.2">
      <c r="A40" s="73" t="str">
        <f t="shared" si="2"/>
        <v>WL-T12-8FT-2L-75W</v>
      </c>
      <c r="B40" s="73" t="s">
        <v>234</v>
      </c>
      <c r="C40" s="72" t="s">
        <v>233</v>
      </c>
      <c r="D40" s="72" t="s">
        <v>212</v>
      </c>
      <c r="E40" s="72">
        <v>8</v>
      </c>
      <c r="F40" s="72">
        <v>2</v>
      </c>
      <c r="G40" s="72">
        <v>75</v>
      </c>
      <c r="H40" s="72">
        <v>6110</v>
      </c>
      <c r="I40" s="72">
        <v>12000</v>
      </c>
      <c r="J40" s="72">
        <v>165</v>
      </c>
      <c r="K40" s="72">
        <v>165</v>
      </c>
      <c r="L40" s="72">
        <v>1</v>
      </c>
      <c r="M40" s="72">
        <v>75000</v>
      </c>
      <c r="N40" s="72">
        <f t="shared" si="3"/>
        <v>1</v>
      </c>
      <c r="O40" s="72">
        <v>272</v>
      </c>
      <c r="P40" s="110">
        <v>1.33</v>
      </c>
      <c r="Q40" s="110">
        <v>64.2</v>
      </c>
      <c r="R40" s="105">
        <v>0.09</v>
      </c>
      <c r="S40" s="113"/>
    </row>
    <row r="41" spans="1:19" x14ac:dyDescent="0.2">
      <c r="A41" s="73" t="str">
        <f t="shared" si="2"/>
        <v>WL-T12-8FT-2L-110W</v>
      </c>
      <c r="B41" s="73" t="s">
        <v>234</v>
      </c>
      <c r="C41" s="72" t="s">
        <v>233</v>
      </c>
      <c r="D41" s="72" t="s">
        <v>212</v>
      </c>
      <c r="E41" s="72">
        <v>8</v>
      </c>
      <c r="F41" s="72">
        <v>2</v>
      </c>
      <c r="G41" s="72">
        <v>110</v>
      </c>
      <c r="H41" s="72">
        <v>8280</v>
      </c>
      <c r="I41" s="72">
        <v>12000</v>
      </c>
      <c r="J41" s="72">
        <v>237</v>
      </c>
      <c r="K41" s="72">
        <v>237</v>
      </c>
      <c r="L41" s="72">
        <v>1</v>
      </c>
      <c r="M41" s="72">
        <v>75000</v>
      </c>
      <c r="N41" s="72">
        <f t="shared" si="3"/>
        <v>1</v>
      </c>
      <c r="O41" s="72">
        <v>272</v>
      </c>
      <c r="P41" s="110">
        <v>2</v>
      </c>
      <c r="Q41" s="110">
        <v>64.2</v>
      </c>
      <c r="R41" s="105">
        <v>0.09</v>
      </c>
      <c r="S41" s="113"/>
    </row>
    <row r="42" spans="1:19" x14ac:dyDescent="0.2">
      <c r="A42" s="73" t="str">
        <f t="shared" si="2"/>
        <v>WL-T8-4FT-2L-32W</v>
      </c>
      <c r="B42" s="73" t="s">
        <v>235</v>
      </c>
      <c r="C42" s="72" t="s">
        <v>233</v>
      </c>
      <c r="D42" s="72" t="s">
        <v>214</v>
      </c>
      <c r="E42" s="72">
        <v>4</v>
      </c>
      <c r="F42" s="72">
        <v>2</v>
      </c>
      <c r="G42" s="72">
        <v>32</v>
      </c>
      <c r="H42" s="72">
        <v>2660</v>
      </c>
      <c r="I42" s="72">
        <v>36000</v>
      </c>
      <c r="J42" s="72">
        <v>62</v>
      </c>
      <c r="K42" s="72">
        <v>62</v>
      </c>
      <c r="L42" s="72">
        <v>1</v>
      </c>
      <c r="M42" s="72">
        <v>75000</v>
      </c>
      <c r="N42" s="72">
        <f t="shared" si="3"/>
        <v>0.96875</v>
      </c>
      <c r="O42" s="72">
        <v>143.65</v>
      </c>
      <c r="P42" s="110">
        <v>2.56</v>
      </c>
      <c r="Q42" s="110">
        <v>32.799999999999997</v>
      </c>
      <c r="R42" s="105">
        <v>0.13500000000000001</v>
      </c>
      <c r="S42" s="113"/>
    </row>
    <row r="43" spans="1:19" x14ac:dyDescent="0.2">
      <c r="A43" s="73" t="str">
        <f t="shared" si="2"/>
        <v>WL-T8-8FT-2L-59W</v>
      </c>
      <c r="B43" s="73" t="s">
        <v>236</v>
      </c>
      <c r="C43" s="72" t="s">
        <v>233</v>
      </c>
      <c r="D43" s="72" t="s">
        <v>214</v>
      </c>
      <c r="E43" s="72">
        <v>8</v>
      </c>
      <c r="F43" s="72">
        <v>2</v>
      </c>
      <c r="G43" s="72">
        <v>59</v>
      </c>
      <c r="H43" s="72">
        <v>5500</v>
      </c>
      <c r="I43" s="72">
        <v>20000</v>
      </c>
      <c r="J43" s="72">
        <v>110</v>
      </c>
      <c r="K43" s="72">
        <v>110</v>
      </c>
      <c r="L43" s="72">
        <v>1</v>
      </c>
      <c r="M43" s="72">
        <v>75000</v>
      </c>
      <c r="N43" s="72">
        <f t="shared" si="3"/>
        <v>0.93220338983050843</v>
      </c>
      <c r="O43" s="72">
        <v>237.25</v>
      </c>
      <c r="P43" s="110">
        <v>1.31</v>
      </c>
      <c r="Q43" s="110">
        <v>44.9</v>
      </c>
      <c r="R43" s="105">
        <v>0.13500000000000001</v>
      </c>
      <c r="S43" s="113"/>
    </row>
    <row r="44" spans="1:19" x14ac:dyDescent="0.2">
      <c r="A44" s="73" t="str">
        <f t="shared" si="2"/>
        <v>HB-T5HO-4FT-2L-54W</v>
      </c>
      <c r="B44" s="73" t="s">
        <v>237</v>
      </c>
      <c r="C44" s="72" t="s">
        <v>238</v>
      </c>
      <c r="D44" s="72" t="s">
        <v>239</v>
      </c>
      <c r="E44" s="72">
        <v>4</v>
      </c>
      <c r="F44" s="72">
        <v>2</v>
      </c>
      <c r="G44" s="72">
        <v>54</v>
      </c>
      <c r="H44" s="72">
        <v>4700</v>
      </c>
      <c r="I44" s="72">
        <v>36000</v>
      </c>
      <c r="J44" s="72">
        <v>108</v>
      </c>
      <c r="K44" s="72">
        <v>121</v>
      </c>
      <c r="L44" s="72">
        <v>1</v>
      </c>
      <c r="M44" s="72">
        <v>72000</v>
      </c>
      <c r="N44" s="72">
        <f t="shared" si="3"/>
        <v>1</v>
      </c>
      <c r="O44" s="72">
        <v>194.25</v>
      </c>
      <c r="P44" s="110">
        <v>5</v>
      </c>
      <c r="Q44" s="110">
        <v>56.7</v>
      </c>
      <c r="R44" s="105">
        <v>0.14000000000000001</v>
      </c>
      <c r="S44" s="113"/>
    </row>
    <row r="45" spans="1:19" x14ac:dyDescent="0.2">
      <c r="A45" s="73" t="str">
        <f t="shared" si="2"/>
        <v>HB-T5HO-4FT-3L-54W</v>
      </c>
      <c r="B45" s="73" t="s">
        <v>237</v>
      </c>
      <c r="C45" s="72" t="s">
        <v>238</v>
      </c>
      <c r="D45" s="72" t="s">
        <v>239</v>
      </c>
      <c r="E45" s="72">
        <v>4</v>
      </c>
      <c r="F45" s="72">
        <v>3</v>
      </c>
      <c r="G45" s="72">
        <v>54</v>
      </c>
      <c r="H45" s="72">
        <v>4700</v>
      </c>
      <c r="I45" s="72">
        <v>36000</v>
      </c>
      <c r="J45" s="72">
        <v>162</v>
      </c>
      <c r="K45" s="72">
        <v>177</v>
      </c>
      <c r="L45" s="72">
        <v>1</v>
      </c>
      <c r="M45" s="72">
        <v>72000</v>
      </c>
      <c r="N45" s="72">
        <f t="shared" si="3"/>
        <v>1</v>
      </c>
      <c r="O45" s="72">
        <v>194.25</v>
      </c>
      <c r="P45" s="110">
        <v>5</v>
      </c>
      <c r="Q45" s="110">
        <v>138.55000000000001</v>
      </c>
      <c r="R45" s="105">
        <v>0.14000000000000001</v>
      </c>
      <c r="S45" s="113"/>
    </row>
    <row r="46" spans="1:19" x14ac:dyDescent="0.2">
      <c r="A46" s="73" t="str">
        <f t="shared" si="2"/>
        <v>HB-T5HO-4FT-4L-54W</v>
      </c>
      <c r="B46" s="73" t="s">
        <v>237</v>
      </c>
      <c r="C46" s="72" t="s">
        <v>238</v>
      </c>
      <c r="D46" s="72" t="s">
        <v>239</v>
      </c>
      <c r="E46" s="72">
        <v>4</v>
      </c>
      <c r="F46" s="72">
        <v>4</v>
      </c>
      <c r="G46" s="72">
        <v>54</v>
      </c>
      <c r="H46" s="72">
        <v>4700</v>
      </c>
      <c r="I46" s="72">
        <v>36000</v>
      </c>
      <c r="J46" s="72">
        <v>240</v>
      </c>
      <c r="K46" s="72">
        <v>234</v>
      </c>
      <c r="L46" s="72">
        <v>1</v>
      </c>
      <c r="M46" s="72">
        <v>72000</v>
      </c>
      <c r="N46" s="72">
        <f t="shared" si="3"/>
        <v>1</v>
      </c>
      <c r="O46" s="72">
        <v>194.25</v>
      </c>
      <c r="P46" s="110">
        <v>5</v>
      </c>
      <c r="Q46" s="110">
        <v>117.25</v>
      </c>
      <c r="R46" s="105">
        <v>0.14000000000000001</v>
      </c>
      <c r="S46" s="113"/>
    </row>
    <row r="47" spans="1:19" x14ac:dyDescent="0.2">
      <c r="A47" s="73" t="str">
        <f t="shared" si="2"/>
        <v>HB-T5HO-4FT-6L-54W</v>
      </c>
      <c r="B47" s="73" t="s">
        <v>237</v>
      </c>
      <c r="C47" s="72" t="s">
        <v>238</v>
      </c>
      <c r="D47" s="72" t="s">
        <v>239</v>
      </c>
      <c r="E47" s="72">
        <v>4</v>
      </c>
      <c r="F47" s="72">
        <v>6</v>
      </c>
      <c r="G47" s="72">
        <v>54</v>
      </c>
      <c r="H47" s="72">
        <v>4700</v>
      </c>
      <c r="I47" s="72">
        <v>36000</v>
      </c>
      <c r="J47" s="72">
        <v>360</v>
      </c>
      <c r="K47" s="72">
        <v>370</v>
      </c>
      <c r="L47" s="72">
        <v>1</v>
      </c>
      <c r="M47" s="72">
        <v>72000</v>
      </c>
      <c r="N47" s="72">
        <f t="shared" si="3"/>
        <v>1</v>
      </c>
      <c r="O47" s="72">
        <v>233.75</v>
      </c>
      <c r="P47" s="110">
        <v>5</v>
      </c>
      <c r="Q47" s="110">
        <v>185.25</v>
      </c>
      <c r="R47" s="105">
        <v>0.14000000000000001</v>
      </c>
      <c r="S47" s="113"/>
    </row>
    <row r="48" spans="1:19" x14ac:dyDescent="0.2">
      <c r="A48" s="73" t="str">
        <f t="shared" si="2"/>
        <v>MS-T8-4FT-4L-28W</v>
      </c>
      <c r="B48" s="73" t="s">
        <v>240</v>
      </c>
      <c r="C48" s="72" t="s">
        <v>241</v>
      </c>
      <c r="D48" s="72" t="s">
        <v>214</v>
      </c>
      <c r="E48" s="72">
        <v>4</v>
      </c>
      <c r="F48" s="72">
        <v>4</v>
      </c>
      <c r="G48" s="72">
        <v>28</v>
      </c>
      <c r="H48" s="72">
        <v>2600</v>
      </c>
      <c r="I48" s="72">
        <v>24000</v>
      </c>
      <c r="J48" s="72">
        <v>193</v>
      </c>
      <c r="K48" s="72">
        <v>193</v>
      </c>
      <c r="L48" s="72">
        <v>2</v>
      </c>
      <c r="M48" s="72">
        <v>72000</v>
      </c>
      <c r="N48" s="72">
        <f t="shared" si="3"/>
        <v>1</v>
      </c>
      <c r="O48" s="72">
        <v>248.25</v>
      </c>
      <c r="P48" s="110">
        <v>3.33</v>
      </c>
      <c r="Q48" s="110">
        <v>41.85</v>
      </c>
      <c r="R48" s="105">
        <v>0.13500000000000001</v>
      </c>
      <c r="S48" s="113"/>
    </row>
    <row r="49" spans="1:19" x14ac:dyDescent="0.2">
      <c r="A49" s="73" t="str">
        <f t="shared" si="2"/>
        <v>MS-T5HO-4FT-4L-51W</v>
      </c>
      <c r="B49" s="73" t="s">
        <v>242</v>
      </c>
      <c r="C49" s="72" t="s">
        <v>241</v>
      </c>
      <c r="D49" s="72" t="s">
        <v>239</v>
      </c>
      <c r="E49" s="72">
        <v>4</v>
      </c>
      <c r="F49" s="72">
        <v>4</v>
      </c>
      <c r="G49" s="72">
        <v>51</v>
      </c>
      <c r="H49" s="72">
        <v>4700</v>
      </c>
      <c r="I49" s="72">
        <v>36000</v>
      </c>
      <c r="J49" s="72">
        <v>204</v>
      </c>
      <c r="K49" s="72">
        <v>204</v>
      </c>
      <c r="L49" s="72">
        <v>1</v>
      </c>
      <c r="M49" s="72">
        <v>72000</v>
      </c>
      <c r="N49" s="72">
        <f t="shared" si="3"/>
        <v>1</v>
      </c>
      <c r="O49" s="72">
        <v>256.25</v>
      </c>
      <c r="P49" s="110">
        <v>0.95</v>
      </c>
      <c r="Q49" s="110">
        <v>117.25</v>
      </c>
      <c r="R49" s="105">
        <v>0.14000000000000001</v>
      </c>
      <c r="S49" s="113"/>
    </row>
    <row r="50" spans="1:19" x14ac:dyDescent="0.2">
      <c r="A50" s="73" t="str">
        <f t="shared" si="2"/>
        <v>MS-T5HO-4FT-6L-51W</v>
      </c>
      <c r="B50" s="73" t="s">
        <v>242</v>
      </c>
      <c r="C50" s="72" t="s">
        <v>241</v>
      </c>
      <c r="D50" s="72" t="s">
        <v>239</v>
      </c>
      <c r="E50" s="72">
        <v>4</v>
      </c>
      <c r="F50" s="72">
        <v>6</v>
      </c>
      <c r="G50" s="72">
        <v>51</v>
      </c>
      <c r="H50" s="72">
        <v>4700</v>
      </c>
      <c r="I50" s="72">
        <v>36000</v>
      </c>
      <c r="J50" s="72">
        <v>306</v>
      </c>
      <c r="K50" s="72">
        <v>306</v>
      </c>
      <c r="L50" s="72">
        <v>1</v>
      </c>
      <c r="M50" s="72">
        <v>72000</v>
      </c>
      <c r="N50" s="72">
        <f t="shared" si="3"/>
        <v>1</v>
      </c>
      <c r="O50" s="72">
        <v>336.75</v>
      </c>
      <c r="P50" s="110">
        <v>0.95</v>
      </c>
      <c r="Q50" s="110">
        <v>185.25</v>
      </c>
      <c r="R50" s="105">
        <v>0.14000000000000001</v>
      </c>
      <c r="S50" s="113"/>
    </row>
    <row r="51" spans="1:19" x14ac:dyDescent="0.2">
      <c r="A51" s="73" t="str">
        <f t="shared" si="2"/>
        <v>MS-T5HO-4FT-8L-51W</v>
      </c>
      <c r="B51" s="73" t="s">
        <v>242</v>
      </c>
      <c r="C51" s="72" t="s">
        <v>241</v>
      </c>
      <c r="D51" s="72" t="s">
        <v>239</v>
      </c>
      <c r="E51" s="72">
        <v>4</v>
      </c>
      <c r="F51" s="72">
        <v>8</v>
      </c>
      <c r="G51" s="72">
        <v>51</v>
      </c>
      <c r="H51" s="72">
        <v>4700</v>
      </c>
      <c r="I51" s="72">
        <v>36000</v>
      </c>
      <c r="J51" s="72">
        <v>408</v>
      </c>
      <c r="K51" s="72">
        <v>408</v>
      </c>
      <c r="L51" s="72">
        <v>2</v>
      </c>
      <c r="M51" s="72">
        <v>72000</v>
      </c>
      <c r="N51" s="72">
        <f t="shared" si="3"/>
        <v>1</v>
      </c>
      <c r="O51" s="72">
        <v>348.25</v>
      </c>
      <c r="P51" s="110">
        <v>0.95</v>
      </c>
      <c r="Q51" s="110">
        <v>117.25</v>
      </c>
      <c r="R51" s="105">
        <v>0.14000000000000001</v>
      </c>
      <c r="S51" s="113"/>
    </row>
    <row r="52" spans="1:19" x14ac:dyDescent="0.2">
      <c r="A52" s="73" t="str">
        <f t="shared" si="2"/>
        <v>MH--FT-1L-70W</v>
      </c>
      <c r="B52" s="73" t="s">
        <v>243</v>
      </c>
      <c r="C52" s="72" t="s">
        <v>244</v>
      </c>
      <c r="D52" s="72"/>
      <c r="E52" s="72"/>
      <c r="F52" s="72">
        <v>1</v>
      </c>
      <c r="G52" s="72">
        <v>70</v>
      </c>
      <c r="H52" s="72">
        <v>3500</v>
      </c>
      <c r="I52" s="72">
        <v>12000</v>
      </c>
      <c r="J52" s="72">
        <v>90</v>
      </c>
      <c r="K52" s="72">
        <v>91</v>
      </c>
      <c r="L52" s="72">
        <v>1</v>
      </c>
      <c r="M52" s="72">
        <v>60000</v>
      </c>
      <c r="N52" s="72">
        <f t="shared" si="3"/>
        <v>1</v>
      </c>
      <c r="O52" s="72">
        <v>256</v>
      </c>
      <c r="P52" s="110">
        <v>40</v>
      </c>
      <c r="Q52" s="110">
        <v>165</v>
      </c>
      <c r="R52" s="105">
        <f>(0.17+0.095)/2</f>
        <v>0.13250000000000001</v>
      </c>
      <c r="S52" s="113"/>
    </row>
    <row r="53" spans="1:19" x14ac:dyDescent="0.2">
      <c r="A53" s="73" t="str">
        <f t="shared" si="2"/>
        <v>MH--FT-1L-100W</v>
      </c>
      <c r="B53" s="73" t="s">
        <v>245</v>
      </c>
      <c r="C53" s="72" t="s">
        <v>244</v>
      </c>
      <c r="D53" s="72"/>
      <c r="E53" s="72"/>
      <c r="F53" s="72">
        <v>1</v>
      </c>
      <c r="G53" s="72">
        <v>100</v>
      </c>
      <c r="H53" s="72">
        <v>6200</v>
      </c>
      <c r="I53" s="72">
        <v>15000</v>
      </c>
      <c r="J53" s="72">
        <v>129</v>
      </c>
      <c r="K53" s="72">
        <v>129</v>
      </c>
      <c r="L53" s="72">
        <v>1</v>
      </c>
      <c r="M53" s="72">
        <v>60000</v>
      </c>
      <c r="N53" s="72">
        <f t="shared" si="3"/>
        <v>1</v>
      </c>
      <c r="O53" s="72">
        <v>256</v>
      </c>
      <c r="P53" s="110">
        <v>42.05</v>
      </c>
      <c r="Q53" s="110">
        <v>175</v>
      </c>
      <c r="R53" s="105">
        <f t="shared" ref="R53:R58" si="4">(0.17+0.095)/2</f>
        <v>0.13250000000000001</v>
      </c>
      <c r="S53" s="113"/>
    </row>
    <row r="54" spans="1:19" x14ac:dyDescent="0.2">
      <c r="A54" s="73" t="str">
        <f t="shared" si="2"/>
        <v>MH--FT-1L-175W</v>
      </c>
      <c r="B54" s="73" t="s">
        <v>246</v>
      </c>
      <c r="C54" s="72" t="s">
        <v>244</v>
      </c>
      <c r="D54" s="72"/>
      <c r="E54" s="72"/>
      <c r="F54" s="72">
        <v>1</v>
      </c>
      <c r="G54" s="72">
        <v>175</v>
      </c>
      <c r="H54" s="72">
        <v>8800</v>
      </c>
      <c r="I54" s="72">
        <v>10000</v>
      </c>
      <c r="J54" s="72">
        <v>205</v>
      </c>
      <c r="K54" s="72">
        <v>215</v>
      </c>
      <c r="L54" s="72">
        <v>1</v>
      </c>
      <c r="M54" s="72">
        <v>60000</v>
      </c>
      <c r="N54" s="72">
        <f t="shared" si="3"/>
        <v>1</v>
      </c>
      <c r="O54" s="72">
        <v>256</v>
      </c>
      <c r="P54" s="110">
        <v>26.95</v>
      </c>
      <c r="Q54" s="110">
        <v>140</v>
      </c>
      <c r="R54" s="105">
        <f t="shared" si="4"/>
        <v>0.13250000000000001</v>
      </c>
      <c r="S54" s="113"/>
    </row>
    <row r="55" spans="1:19" x14ac:dyDescent="0.2">
      <c r="A55" s="73" t="str">
        <f t="shared" si="2"/>
        <v>MH--FT-1L-250W</v>
      </c>
      <c r="B55" s="73" t="s">
        <v>247</v>
      </c>
      <c r="C55" s="72" t="s">
        <v>244</v>
      </c>
      <c r="D55" s="72"/>
      <c r="E55" s="72"/>
      <c r="F55" s="72">
        <v>1</v>
      </c>
      <c r="G55" s="72">
        <v>250</v>
      </c>
      <c r="H55" s="72">
        <v>13500</v>
      </c>
      <c r="I55" s="72">
        <v>10000</v>
      </c>
      <c r="J55" s="72">
        <v>285</v>
      </c>
      <c r="K55" s="72">
        <v>295</v>
      </c>
      <c r="L55" s="72">
        <v>1</v>
      </c>
      <c r="M55" s="72">
        <v>60000</v>
      </c>
      <c r="N55" s="72">
        <f t="shared" si="3"/>
        <v>1</v>
      </c>
      <c r="O55" s="72">
        <v>256</v>
      </c>
      <c r="P55" s="110">
        <v>28</v>
      </c>
      <c r="Q55" s="110">
        <v>140</v>
      </c>
      <c r="R55" s="105">
        <f t="shared" si="4"/>
        <v>0.13250000000000001</v>
      </c>
      <c r="S55" s="113"/>
    </row>
    <row r="56" spans="1:19" x14ac:dyDescent="0.2">
      <c r="A56" s="73" t="str">
        <f t="shared" si="2"/>
        <v>MH--FT-1L-320W</v>
      </c>
      <c r="B56" s="73" t="s">
        <v>248</v>
      </c>
      <c r="C56" s="72" t="s">
        <v>244</v>
      </c>
      <c r="D56" s="72"/>
      <c r="E56" s="72"/>
      <c r="F56" s="72">
        <v>1</v>
      </c>
      <c r="G56" s="72">
        <v>320</v>
      </c>
      <c r="H56" s="72">
        <v>22500</v>
      </c>
      <c r="I56" s="72">
        <v>20000</v>
      </c>
      <c r="J56" s="72">
        <v>368</v>
      </c>
      <c r="K56" s="72">
        <v>368</v>
      </c>
      <c r="L56" s="72">
        <v>1</v>
      </c>
      <c r="M56" s="72">
        <v>60000</v>
      </c>
      <c r="N56" s="72">
        <f t="shared" si="3"/>
        <v>1</v>
      </c>
      <c r="O56" s="72">
        <f>(O57-O55)/2+O55</f>
        <v>264.625</v>
      </c>
      <c r="P56" s="110">
        <v>89</v>
      </c>
      <c r="Q56" s="110">
        <v>175</v>
      </c>
      <c r="R56" s="105">
        <f t="shared" si="4"/>
        <v>0.13250000000000001</v>
      </c>
      <c r="S56" s="113"/>
    </row>
    <row r="57" spans="1:19" x14ac:dyDescent="0.2">
      <c r="A57" s="73" t="str">
        <f t="shared" si="2"/>
        <v>MH--FT-1L-400W</v>
      </c>
      <c r="B57" s="73" t="s">
        <v>249</v>
      </c>
      <c r="C57" s="72" t="s">
        <v>244</v>
      </c>
      <c r="D57" s="72"/>
      <c r="E57" s="72"/>
      <c r="F57" s="72">
        <v>1</v>
      </c>
      <c r="G57" s="72">
        <v>400</v>
      </c>
      <c r="H57" s="72">
        <v>28000</v>
      </c>
      <c r="I57" s="72">
        <v>20000</v>
      </c>
      <c r="J57" s="72">
        <v>455</v>
      </c>
      <c r="K57" s="72">
        <v>458</v>
      </c>
      <c r="L57" s="72">
        <v>1</v>
      </c>
      <c r="M57" s="72">
        <v>60000</v>
      </c>
      <c r="N57" s="72">
        <f t="shared" si="3"/>
        <v>1</v>
      </c>
      <c r="O57" s="72">
        <v>273.25</v>
      </c>
      <c r="P57" s="110">
        <v>42</v>
      </c>
      <c r="Q57" s="110">
        <v>180</v>
      </c>
      <c r="R57" s="105">
        <f t="shared" si="4"/>
        <v>0.13250000000000001</v>
      </c>
      <c r="S57" s="113"/>
    </row>
    <row r="58" spans="1:19" x14ac:dyDescent="0.2">
      <c r="A58" s="73" t="str">
        <f>IF(C58="","",""&amp;C58&amp;"-"&amp;D58&amp;"-"&amp;E58&amp;"FT-"&amp;F58&amp;"L-"&amp;G58&amp;"W")</f>
        <v>MH--FT-1L-1000W</v>
      </c>
      <c r="B58" s="73" t="s">
        <v>250</v>
      </c>
      <c r="C58" s="72" t="s">
        <v>244</v>
      </c>
      <c r="D58" s="72"/>
      <c r="E58" s="72"/>
      <c r="F58" s="72">
        <v>1</v>
      </c>
      <c r="G58" s="72">
        <v>1000</v>
      </c>
      <c r="H58" s="72">
        <v>86000</v>
      </c>
      <c r="I58" s="72">
        <v>15000</v>
      </c>
      <c r="J58" s="72">
        <v>1070</v>
      </c>
      <c r="K58" s="72">
        <v>1080</v>
      </c>
      <c r="L58" s="72">
        <v>1</v>
      </c>
      <c r="M58" s="72">
        <v>60000</v>
      </c>
      <c r="N58" s="72">
        <f t="shared" si="3"/>
        <v>1</v>
      </c>
      <c r="O58" s="72">
        <v>289</v>
      </c>
      <c r="P58" s="110">
        <v>83</v>
      </c>
      <c r="Q58" s="110">
        <v>280</v>
      </c>
      <c r="R58" s="105">
        <f t="shared" si="4"/>
        <v>0.13250000000000001</v>
      </c>
      <c r="S58" s="113"/>
    </row>
    <row r="59" spans="1:19" x14ac:dyDescent="0.2">
      <c r="A59" s="73" t="str">
        <f t="shared" si="2"/>
        <v>CFL--FT-1L-7W</v>
      </c>
      <c r="B59" s="73" t="s">
        <v>362</v>
      </c>
      <c r="C59" s="72" t="s">
        <v>251</v>
      </c>
      <c r="D59" s="72"/>
      <c r="E59" s="72"/>
      <c r="F59" s="72">
        <v>1</v>
      </c>
      <c r="G59" s="72">
        <v>7</v>
      </c>
      <c r="H59" s="72">
        <v>345</v>
      </c>
      <c r="I59" s="72">
        <v>10000</v>
      </c>
      <c r="J59" s="72">
        <v>7</v>
      </c>
      <c r="K59" s="72">
        <f t="shared" ref="K59:K78" si="5">G59</f>
        <v>7</v>
      </c>
      <c r="L59" s="72"/>
      <c r="M59" s="72"/>
      <c r="N59" s="72">
        <f>IF(J59="","",IF(J59/(G59*F59)&gt;=1,1,J59/(G59*F59)))</f>
        <v>1</v>
      </c>
      <c r="O59" s="72"/>
      <c r="P59" s="110">
        <v>4.83</v>
      </c>
      <c r="Q59" s="110"/>
      <c r="R59" s="105">
        <v>9.7500000000000003E-2</v>
      </c>
      <c r="S59" s="113"/>
    </row>
    <row r="60" spans="1:19" x14ac:dyDescent="0.2">
      <c r="A60" s="73" t="str">
        <f t="shared" si="2"/>
        <v>CFL--FT-1L-11W</v>
      </c>
      <c r="B60" s="73" t="s">
        <v>363</v>
      </c>
      <c r="C60" s="72" t="s">
        <v>251</v>
      </c>
      <c r="D60" s="72"/>
      <c r="E60" s="72"/>
      <c r="F60" s="72">
        <v>1</v>
      </c>
      <c r="G60" s="72">
        <v>11</v>
      </c>
      <c r="H60" s="72">
        <v>570</v>
      </c>
      <c r="I60" s="72">
        <v>10000</v>
      </c>
      <c r="J60" s="72">
        <v>11</v>
      </c>
      <c r="K60" s="72">
        <f t="shared" si="5"/>
        <v>11</v>
      </c>
      <c r="L60" s="72"/>
      <c r="M60" s="72"/>
      <c r="N60" s="72">
        <f t="shared" ref="N60:N91" si="6">IF(J60="","",IF(J60/(G60*F60)&gt;1,1,J60/(G60*F60)))</f>
        <v>1</v>
      </c>
      <c r="O60" s="72"/>
      <c r="P60" s="110">
        <v>10</v>
      </c>
      <c r="Q60" s="110"/>
      <c r="R60" s="105">
        <v>9.7500000000000003E-2</v>
      </c>
      <c r="S60" s="113"/>
    </row>
    <row r="61" spans="1:19" x14ac:dyDescent="0.2">
      <c r="A61" s="73" t="str">
        <f t="shared" si="2"/>
        <v>CFL--FT-1L-13W</v>
      </c>
      <c r="B61" s="73" t="s">
        <v>364</v>
      </c>
      <c r="C61" s="72" t="s">
        <v>251</v>
      </c>
      <c r="D61" s="72"/>
      <c r="E61" s="72"/>
      <c r="F61" s="72">
        <v>1</v>
      </c>
      <c r="G61" s="72">
        <v>13</v>
      </c>
      <c r="H61" s="72">
        <v>690</v>
      </c>
      <c r="I61" s="72">
        <v>10000</v>
      </c>
      <c r="J61" s="72">
        <v>13</v>
      </c>
      <c r="K61" s="72">
        <f t="shared" si="5"/>
        <v>13</v>
      </c>
      <c r="L61" s="72"/>
      <c r="M61" s="72"/>
      <c r="N61" s="72">
        <f t="shared" si="6"/>
        <v>1</v>
      </c>
      <c r="O61" s="72"/>
      <c r="P61" s="110">
        <v>6.7</v>
      </c>
      <c r="Q61" s="110"/>
      <c r="R61" s="105">
        <v>9.7500000000000003E-2</v>
      </c>
      <c r="S61" s="113"/>
    </row>
    <row r="62" spans="1:19" x14ac:dyDescent="0.2">
      <c r="A62" s="73" t="str">
        <f t="shared" si="2"/>
        <v>CFL--FT-1L-15W</v>
      </c>
      <c r="B62" s="73" t="s">
        <v>252</v>
      </c>
      <c r="C62" s="72" t="s">
        <v>251</v>
      </c>
      <c r="D62" s="72"/>
      <c r="E62" s="72"/>
      <c r="F62" s="72">
        <v>1</v>
      </c>
      <c r="G62" s="72">
        <v>15</v>
      </c>
      <c r="H62" s="72">
        <v>760</v>
      </c>
      <c r="I62" s="72">
        <v>8000</v>
      </c>
      <c r="J62" s="72">
        <v>15</v>
      </c>
      <c r="K62" s="72">
        <f t="shared" si="5"/>
        <v>15</v>
      </c>
      <c r="L62" s="72"/>
      <c r="M62" s="72"/>
      <c r="N62" s="72">
        <f t="shared" si="6"/>
        <v>1</v>
      </c>
      <c r="O62" s="72"/>
      <c r="P62" s="110">
        <v>5.37</v>
      </c>
      <c r="Q62" s="110"/>
      <c r="R62" s="105">
        <v>9.7500000000000003E-2</v>
      </c>
      <c r="S62" s="113"/>
    </row>
    <row r="63" spans="1:19" x14ac:dyDescent="0.2">
      <c r="A63" s="73" t="str">
        <f>IF(C63="","",""&amp;C63&amp;"-"&amp;D63&amp;"-"&amp;E63&amp;"FT-"&amp;F63&amp;"L-"&amp;G63&amp;"W")</f>
        <v>CFL--FT-1L-20W</v>
      </c>
      <c r="B63" s="73" t="s">
        <v>365</v>
      </c>
      <c r="C63" s="72" t="s">
        <v>251</v>
      </c>
      <c r="D63" s="72"/>
      <c r="E63" s="72"/>
      <c r="F63" s="72">
        <v>1</v>
      </c>
      <c r="G63" s="72">
        <v>20</v>
      </c>
      <c r="H63" s="72">
        <v>960</v>
      </c>
      <c r="I63" s="72">
        <v>8000</v>
      </c>
      <c r="J63" s="72">
        <v>20</v>
      </c>
      <c r="K63" s="72">
        <f t="shared" si="5"/>
        <v>20</v>
      </c>
      <c r="L63" s="72"/>
      <c r="M63" s="72"/>
      <c r="N63" s="72">
        <f t="shared" si="6"/>
        <v>1</v>
      </c>
      <c r="O63" s="72"/>
      <c r="P63" s="110">
        <v>15</v>
      </c>
      <c r="Q63" s="110"/>
      <c r="R63" s="105">
        <v>9.7500000000000003E-2</v>
      </c>
      <c r="S63" s="113"/>
    </row>
    <row r="64" spans="1:19" x14ac:dyDescent="0.2">
      <c r="A64" s="73" t="str">
        <f t="shared" si="2"/>
        <v>CFL--FT-1L-26W</v>
      </c>
      <c r="B64" s="73" t="s">
        <v>366</v>
      </c>
      <c r="C64" s="72" t="s">
        <v>251</v>
      </c>
      <c r="D64" s="72"/>
      <c r="E64" s="72"/>
      <c r="F64" s="72">
        <v>1</v>
      </c>
      <c r="G64" s="72">
        <v>26</v>
      </c>
      <c r="H64" s="72">
        <v>1400</v>
      </c>
      <c r="I64" s="72">
        <v>8000</v>
      </c>
      <c r="J64" s="72">
        <v>26</v>
      </c>
      <c r="K64" s="72">
        <f t="shared" si="5"/>
        <v>26</v>
      </c>
      <c r="L64" s="72"/>
      <c r="M64" s="72"/>
      <c r="N64" s="72">
        <f t="shared" si="6"/>
        <v>1</v>
      </c>
      <c r="O64" s="72"/>
      <c r="P64" s="110">
        <v>17</v>
      </c>
      <c r="Q64" s="110"/>
      <c r="R64" s="105">
        <v>9.7500000000000003E-2</v>
      </c>
      <c r="S64" s="113"/>
    </row>
    <row r="65" spans="1:19" x14ac:dyDescent="0.2">
      <c r="A65" s="73" t="str">
        <f t="shared" si="2"/>
        <v>I--FT-1L-40W</v>
      </c>
      <c r="B65" s="73" t="s">
        <v>253</v>
      </c>
      <c r="C65" s="72" t="s">
        <v>254</v>
      </c>
      <c r="D65" s="72"/>
      <c r="E65" s="72"/>
      <c r="F65" s="72">
        <v>1</v>
      </c>
      <c r="G65" s="72">
        <v>40</v>
      </c>
      <c r="H65" s="72">
        <v>505</v>
      </c>
      <c r="I65" s="72">
        <v>1000</v>
      </c>
      <c r="J65" s="72">
        <v>40</v>
      </c>
      <c r="K65" s="72">
        <f t="shared" si="5"/>
        <v>40</v>
      </c>
      <c r="L65" s="72"/>
      <c r="M65" s="72"/>
      <c r="N65" s="72">
        <f t="shared" si="6"/>
        <v>1</v>
      </c>
      <c r="O65" s="72"/>
      <c r="P65" s="110">
        <v>0.65</v>
      </c>
      <c r="Q65" s="110"/>
      <c r="R65" s="105">
        <v>1.7999999999999999E-2</v>
      </c>
      <c r="S65" s="113"/>
    </row>
    <row r="66" spans="1:19" x14ac:dyDescent="0.2">
      <c r="A66" s="73" t="str">
        <f t="shared" ref="A66:A97" si="7">IF(C66="","",""&amp;C66&amp;"-"&amp;D66&amp;"-"&amp;E66&amp;"FT-"&amp;F66&amp;"L-"&amp;G66&amp;"W")</f>
        <v>I--FT-1L-60W</v>
      </c>
      <c r="B66" s="73" t="s">
        <v>255</v>
      </c>
      <c r="C66" s="72" t="s">
        <v>254</v>
      </c>
      <c r="D66" s="72"/>
      <c r="E66" s="72"/>
      <c r="F66" s="72">
        <v>1</v>
      </c>
      <c r="G66" s="72">
        <v>60</v>
      </c>
      <c r="H66" s="72">
        <v>865</v>
      </c>
      <c r="I66" s="72">
        <v>1000</v>
      </c>
      <c r="J66" s="72">
        <v>60</v>
      </c>
      <c r="K66" s="72">
        <f t="shared" si="5"/>
        <v>60</v>
      </c>
      <c r="L66" s="72"/>
      <c r="M66" s="72"/>
      <c r="N66" s="72">
        <f t="shared" si="6"/>
        <v>1</v>
      </c>
      <c r="O66" s="72"/>
      <c r="P66" s="110">
        <v>0.63</v>
      </c>
      <c r="Q66" s="110"/>
      <c r="R66" s="105">
        <f>R65+(0.008/3)</f>
        <v>2.0666666666666667E-2</v>
      </c>
      <c r="S66" s="113"/>
    </row>
    <row r="67" spans="1:19" x14ac:dyDescent="0.2">
      <c r="A67" s="73" t="str">
        <f t="shared" si="7"/>
        <v>I--FT-1L-75W</v>
      </c>
      <c r="B67" s="73" t="s">
        <v>256</v>
      </c>
      <c r="C67" s="72" t="s">
        <v>254</v>
      </c>
      <c r="D67" s="72"/>
      <c r="E67" s="72"/>
      <c r="F67" s="72">
        <v>1</v>
      </c>
      <c r="G67" s="72">
        <v>75</v>
      </c>
      <c r="H67" s="72">
        <v>1190</v>
      </c>
      <c r="I67" s="72">
        <v>750</v>
      </c>
      <c r="J67" s="72">
        <v>75</v>
      </c>
      <c r="K67" s="72">
        <f t="shared" si="5"/>
        <v>75</v>
      </c>
      <c r="L67" s="72"/>
      <c r="M67" s="72"/>
      <c r="N67" s="72">
        <f t="shared" si="6"/>
        <v>1</v>
      </c>
      <c r="O67" s="72"/>
      <c r="P67" s="110">
        <v>0.63</v>
      </c>
      <c r="Q67" s="110"/>
      <c r="R67" s="105">
        <f>(0.005*(15/40))+R66</f>
        <v>2.2541666666666668E-2</v>
      </c>
      <c r="S67" s="113"/>
    </row>
    <row r="68" spans="1:19" x14ac:dyDescent="0.2">
      <c r="A68" s="73" t="str">
        <f t="shared" si="7"/>
        <v>I--FT-1L-100W</v>
      </c>
      <c r="B68" s="73" t="s">
        <v>257</v>
      </c>
      <c r="C68" s="72" t="s">
        <v>254</v>
      </c>
      <c r="D68" s="72"/>
      <c r="E68" s="72"/>
      <c r="F68" s="72">
        <v>1</v>
      </c>
      <c r="G68" s="72">
        <v>100</v>
      </c>
      <c r="H68" s="72">
        <v>1710</v>
      </c>
      <c r="I68" s="72">
        <v>750</v>
      </c>
      <c r="J68" s="72">
        <v>100</v>
      </c>
      <c r="K68" s="72">
        <f t="shared" si="5"/>
        <v>100</v>
      </c>
      <c r="L68" s="72"/>
      <c r="M68" s="72"/>
      <c r="N68" s="72">
        <f t="shared" si="6"/>
        <v>1</v>
      </c>
      <c r="O68" s="72"/>
      <c r="P68" s="110">
        <v>0.63</v>
      </c>
      <c r="Q68" s="110"/>
      <c r="R68" s="105">
        <v>2.5999999999999999E-2</v>
      </c>
      <c r="S68" s="113"/>
    </row>
    <row r="69" spans="1:19" x14ac:dyDescent="0.2">
      <c r="A69" s="73" t="str">
        <f t="shared" si="7"/>
        <v>I--FT-1L-135W</v>
      </c>
      <c r="B69" s="73" t="s">
        <v>258</v>
      </c>
      <c r="C69" s="72" t="s">
        <v>254</v>
      </c>
      <c r="D69" s="72"/>
      <c r="E69" s="72"/>
      <c r="F69" s="72">
        <v>1</v>
      </c>
      <c r="G69" s="72">
        <v>135</v>
      </c>
      <c r="H69" s="72">
        <v>2380</v>
      </c>
      <c r="I69" s="72">
        <v>1000</v>
      </c>
      <c r="J69" s="72">
        <v>135</v>
      </c>
      <c r="K69" s="72">
        <f t="shared" si="5"/>
        <v>135</v>
      </c>
      <c r="L69" s="72"/>
      <c r="M69" s="72"/>
      <c r="N69" s="72">
        <f t="shared" si="6"/>
        <v>1</v>
      </c>
      <c r="O69" s="72"/>
      <c r="P69" s="110">
        <v>1.7</v>
      </c>
      <c r="Q69" s="110"/>
      <c r="R69" s="105">
        <v>0.02</v>
      </c>
      <c r="S69" s="113"/>
    </row>
    <row r="70" spans="1:19" x14ac:dyDescent="0.2">
      <c r="A70" s="73" t="str">
        <f t="shared" si="7"/>
        <v>I--FT-1L-150W</v>
      </c>
      <c r="B70" s="73" t="s">
        <v>259</v>
      </c>
      <c r="C70" s="72" t="s">
        <v>254</v>
      </c>
      <c r="D70" s="72"/>
      <c r="E70" s="72"/>
      <c r="F70" s="72">
        <v>1</v>
      </c>
      <c r="G70" s="72">
        <v>150</v>
      </c>
      <c r="H70" s="72">
        <v>2780</v>
      </c>
      <c r="I70" s="72">
        <v>750</v>
      </c>
      <c r="J70" s="72">
        <v>150</v>
      </c>
      <c r="K70" s="72">
        <f t="shared" si="5"/>
        <v>150</v>
      </c>
      <c r="L70" s="72"/>
      <c r="M70" s="72"/>
      <c r="N70" s="72">
        <f t="shared" si="6"/>
        <v>1</v>
      </c>
      <c r="O70" s="72"/>
      <c r="P70" s="110">
        <v>3.3</v>
      </c>
      <c r="Q70" s="110"/>
      <c r="R70" s="105">
        <v>2.1000000000000001E-2</v>
      </c>
      <c r="S70" s="113"/>
    </row>
    <row r="71" spans="1:19" x14ac:dyDescent="0.2">
      <c r="A71" s="73" t="str">
        <f t="shared" si="7"/>
        <v>I--FT-1L-200W</v>
      </c>
      <c r="B71" s="73" t="s">
        <v>260</v>
      </c>
      <c r="C71" s="72" t="s">
        <v>254</v>
      </c>
      <c r="D71" s="72"/>
      <c r="E71" s="72"/>
      <c r="F71" s="72">
        <v>1</v>
      </c>
      <c r="G71" s="72">
        <v>200</v>
      </c>
      <c r="H71" s="72">
        <v>3910</v>
      </c>
      <c r="I71" s="72">
        <v>750</v>
      </c>
      <c r="J71" s="72">
        <v>200</v>
      </c>
      <c r="K71" s="72">
        <f t="shared" si="5"/>
        <v>200</v>
      </c>
      <c r="L71" s="72"/>
      <c r="M71" s="72"/>
      <c r="N71" s="72">
        <f t="shared" si="6"/>
        <v>1</v>
      </c>
      <c r="O71" s="72"/>
      <c r="P71" s="110">
        <v>3.57</v>
      </c>
      <c r="Q71" s="110"/>
      <c r="R71" s="105">
        <v>2.1999999999999999E-2</v>
      </c>
      <c r="S71" s="113"/>
    </row>
    <row r="72" spans="1:19" x14ac:dyDescent="0.2">
      <c r="A72" s="73" t="str">
        <f t="shared" si="7"/>
        <v>I--FT-1L-300W</v>
      </c>
      <c r="B72" s="73" t="s">
        <v>261</v>
      </c>
      <c r="C72" s="72" t="s">
        <v>254</v>
      </c>
      <c r="D72" s="72"/>
      <c r="E72" s="72"/>
      <c r="F72" s="72">
        <v>1</v>
      </c>
      <c r="G72" s="72">
        <v>300</v>
      </c>
      <c r="H72" s="72">
        <v>5820</v>
      </c>
      <c r="I72" s="72">
        <v>1000</v>
      </c>
      <c r="J72" s="72">
        <v>300</v>
      </c>
      <c r="K72" s="72">
        <f t="shared" si="5"/>
        <v>300</v>
      </c>
      <c r="L72" s="72"/>
      <c r="M72" s="72"/>
      <c r="N72" s="72">
        <f t="shared" si="6"/>
        <v>1</v>
      </c>
      <c r="O72" s="72"/>
      <c r="P72" s="110">
        <v>11.9</v>
      </c>
      <c r="Q72" s="110"/>
      <c r="R72" s="105">
        <v>2.7E-2</v>
      </c>
      <c r="S72" s="113"/>
    </row>
    <row r="73" spans="1:19" x14ac:dyDescent="0.2">
      <c r="A73" s="73" t="str">
        <f t="shared" si="7"/>
        <v>Q--FT-1L-50W</v>
      </c>
      <c r="B73" s="73" t="s">
        <v>262</v>
      </c>
      <c r="C73" s="72" t="s">
        <v>263</v>
      </c>
      <c r="D73" s="72"/>
      <c r="E73" s="72"/>
      <c r="F73" s="72">
        <v>1</v>
      </c>
      <c r="G73" s="72">
        <v>50</v>
      </c>
      <c r="H73" s="72">
        <v>850</v>
      </c>
      <c r="I73" s="72">
        <v>2000</v>
      </c>
      <c r="J73" s="72">
        <v>50</v>
      </c>
      <c r="K73" s="72">
        <f t="shared" si="5"/>
        <v>50</v>
      </c>
      <c r="L73" s="72"/>
      <c r="M73" s="72"/>
      <c r="N73" s="72">
        <f t="shared" si="6"/>
        <v>1</v>
      </c>
      <c r="O73" s="72"/>
      <c r="P73" s="110">
        <v>13.26</v>
      </c>
      <c r="Q73" s="110"/>
      <c r="R73" s="105">
        <v>3.5000000000000003E-2</v>
      </c>
      <c r="S73" s="113"/>
    </row>
    <row r="74" spans="1:19" x14ac:dyDescent="0.2">
      <c r="A74" s="73" t="str">
        <f t="shared" si="7"/>
        <v>Q--FT-1L-71W</v>
      </c>
      <c r="B74" s="73" t="s">
        <v>264</v>
      </c>
      <c r="C74" s="72" t="s">
        <v>263</v>
      </c>
      <c r="D74" s="72"/>
      <c r="E74" s="72"/>
      <c r="F74" s="72">
        <v>1</v>
      </c>
      <c r="G74" s="72">
        <v>71</v>
      </c>
      <c r="H74" s="72">
        <v>1000</v>
      </c>
      <c r="I74" s="72">
        <v>4000</v>
      </c>
      <c r="J74" s="72">
        <v>71</v>
      </c>
      <c r="K74" s="72">
        <f t="shared" si="5"/>
        <v>71</v>
      </c>
      <c r="L74" s="72"/>
      <c r="M74" s="72"/>
      <c r="N74" s="72">
        <f t="shared" si="6"/>
        <v>1</v>
      </c>
      <c r="O74" s="72"/>
      <c r="P74" s="110">
        <v>17.440000000000001</v>
      </c>
      <c r="Q74" s="110"/>
      <c r="R74" s="105">
        <v>3.5000000000000003E-2</v>
      </c>
      <c r="S74" s="113"/>
    </row>
    <row r="75" spans="1:19" x14ac:dyDescent="0.2">
      <c r="A75" s="73" t="str">
        <f t="shared" si="7"/>
        <v>Q--FT-1L-150W</v>
      </c>
      <c r="B75" s="73" t="s">
        <v>265</v>
      </c>
      <c r="C75" s="72" t="s">
        <v>263</v>
      </c>
      <c r="D75" s="72"/>
      <c r="E75" s="72"/>
      <c r="F75" s="72">
        <v>1</v>
      </c>
      <c r="G75" s="72">
        <v>150</v>
      </c>
      <c r="H75" s="72">
        <v>2800</v>
      </c>
      <c r="I75" s="72">
        <v>1500</v>
      </c>
      <c r="J75" s="72">
        <v>150</v>
      </c>
      <c r="K75" s="72">
        <f t="shared" si="5"/>
        <v>150</v>
      </c>
      <c r="L75" s="72"/>
      <c r="M75" s="72"/>
      <c r="N75" s="72">
        <f t="shared" si="6"/>
        <v>1</v>
      </c>
      <c r="O75" s="72"/>
      <c r="P75" s="110">
        <v>20.149999999999999</v>
      </c>
      <c r="Q75" s="110"/>
      <c r="R75" s="105">
        <v>3.5000000000000003E-2</v>
      </c>
      <c r="S75" s="113"/>
    </row>
    <row r="76" spans="1:19" x14ac:dyDescent="0.2">
      <c r="A76" s="73" t="str">
        <f t="shared" si="7"/>
        <v>Q--FT-1L-250W</v>
      </c>
      <c r="B76" s="73" t="s">
        <v>266</v>
      </c>
      <c r="C76" s="72" t="s">
        <v>263</v>
      </c>
      <c r="D76" s="72"/>
      <c r="E76" s="72"/>
      <c r="F76" s="72">
        <v>1</v>
      </c>
      <c r="G76" s="72">
        <v>250</v>
      </c>
      <c r="H76" s="72">
        <v>5000</v>
      </c>
      <c r="I76" s="72">
        <v>200</v>
      </c>
      <c r="J76" s="72">
        <v>250</v>
      </c>
      <c r="K76" s="72">
        <f t="shared" si="5"/>
        <v>250</v>
      </c>
      <c r="L76" s="72"/>
      <c r="M76" s="72"/>
      <c r="N76" s="72">
        <f t="shared" si="6"/>
        <v>1</v>
      </c>
      <c r="O76" s="72"/>
      <c r="P76" s="110">
        <v>22.25</v>
      </c>
      <c r="Q76" s="110"/>
      <c r="R76" s="105">
        <v>3.5000000000000003E-2</v>
      </c>
      <c r="S76" s="113"/>
    </row>
    <row r="77" spans="1:19" x14ac:dyDescent="0.2">
      <c r="A77" s="73" t="str">
        <f t="shared" si="7"/>
        <v>Q--FT-1L-500W</v>
      </c>
      <c r="B77" s="73" t="s">
        <v>267</v>
      </c>
      <c r="C77" s="72" t="s">
        <v>263</v>
      </c>
      <c r="D77" s="72"/>
      <c r="E77" s="72"/>
      <c r="F77" s="72">
        <v>1</v>
      </c>
      <c r="G77" s="72">
        <v>500</v>
      </c>
      <c r="H77" s="72">
        <v>10300</v>
      </c>
      <c r="I77" s="72">
        <v>2000</v>
      </c>
      <c r="J77" s="72">
        <v>500</v>
      </c>
      <c r="K77" s="72">
        <f t="shared" si="5"/>
        <v>500</v>
      </c>
      <c r="L77" s="72"/>
      <c r="M77" s="72"/>
      <c r="N77" s="72">
        <f t="shared" si="6"/>
        <v>1</v>
      </c>
      <c r="O77" s="72"/>
      <c r="P77" s="110">
        <v>62.3</v>
      </c>
      <c r="Q77" s="110"/>
      <c r="R77" s="105">
        <v>3.5000000000000003E-2</v>
      </c>
      <c r="S77" s="113"/>
    </row>
    <row r="78" spans="1:19" x14ac:dyDescent="0.2">
      <c r="A78" s="73" t="str">
        <f t="shared" si="7"/>
        <v>Q--FT-1L-1000W</v>
      </c>
      <c r="B78" s="73" t="s">
        <v>268</v>
      </c>
      <c r="C78" s="72" t="s">
        <v>263</v>
      </c>
      <c r="D78" s="72"/>
      <c r="E78" s="72"/>
      <c r="F78" s="72">
        <v>1</v>
      </c>
      <c r="G78" s="72">
        <v>1000</v>
      </c>
      <c r="H78" s="72">
        <v>21500</v>
      </c>
      <c r="I78" s="72">
        <v>2000</v>
      </c>
      <c r="J78" s="72">
        <v>1000</v>
      </c>
      <c r="K78" s="72">
        <f t="shared" si="5"/>
        <v>1000</v>
      </c>
      <c r="L78" s="72"/>
      <c r="M78" s="72"/>
      <c r="N78" s="72">
        <f t="shared" si="6"/>
        <v>1</v>
      </c>
      <c r="O78" s="72"/>
      <c r="P78" s="110">
        <v>69.05</v>
      </c>
      <c r="Q78" s="110"/>
      <c r="R78" s="105">
        <v>3.5000000000000003E-2</v>
      </c>
      <c r="S78" s="113"/>
    </row>
    <row r="79" spans="1:19" x14ac:dyDescent="0.2">
      <c r="A79" s="73" t="str">
        <f t="shared" si="7"/>
        <v>HPS--FT-1L-100W</v>
      </c>
      <c r="B79" s="73" t="s">
        <v>269</v>
      </c>
      <c r="C79" s="72" t="s">
        <v>270</v>
      </c>
      <c r="D79" s="72"/>
      <c r="E79" s="72"/>
      <c r="F79" s="72">
        <v>1</v>
      </c>
      <c r="G79" s="72">
        <v>100</v>
      </c>
      <c r="H79" s="72">
        <v>9500</v>
      </c>
      <c r="I79" s="72">
        <v>24000</v>
      </c>
      <c r="J79" s="72">
        <v>123</v>
      </c>
      <c r="K79" s="72">
        <v>130</v>
      </c>
      <c r="L79" s="72">
        <v>1</v>
      </c>
      <c r="M79" s="72">
        <v>72000</v>
      </c>
      <c r="N79" s="72">
        <f t="shared" si="6"/>
        <v>1</v>
      </c>
      <c r="O79" s="72">
        <v>169.75</v>
      </c>
      <c r="P79" s="110">
        <v>29.5</v>
      </c>
      <c r="Q79" s="110">
        <v>189</v>
      </c>
      <c r="R79" s="105">
        <v>0.17</v>
      </c>
      <c r="S79" s="113"/>
    </row>
    <row r="80" spans="1:19" x14ac:dyDescent="0.2">
      <c r="A80" s="73" t="str">
        <f t="shared" si="7"/>
        <v>HPS--FT-1L-150W</v>
      </c>
      <c r="B80" s="73" t="s">
        <v>271</v>
      </c>
      <c r="C80" s="72" t="s">
        <v>270</v>
      </c>
      <c r="D80" s="72"/>
      <c r="E80" s="72"/>
      <c r="F80" s="72">
        <v>1</v>
      </c>
      <c r="G80" s="72">
        <v>150</v>
      </c>
      <c r="H80" s="72">
        <v>16000</v>
      </c>
      <c r="I80" s="72">
        <v>24000</v>
      </c>
      <c r="J80" s="72">
        <v>175</v>
      </c>
      <c r="K80" s="72">
        <v>188</v>
      </c>
      <c r="L80" s="72">
        <v>1</v>
      </c>
      <c r="M80" s="72">
        <v>72000</v>
      </c>
      <c r="N80" s="72">
        <f t="shared" si="6"/>
        <v>1</v>
      </c>
      <c r="O80" s="72">
        <v>169.75</v>
      </c>
      <c r="P80" s="110">
        <v>31.3</v>
      </c>
      <c r="Q80" s="110">
        <v>141</v>
      </c>
      <c r="R80" s="105">
        <v>0.17</v>
      </c>
      <c r="S80" s="113"/>
    </row>
    <row r="81" spans="1:19" x14ac:dyDescent="0.2">
      <c r="A81" s="73" t="str">
        <f t="shared" si="7"/>
        <v>HPS--FT-1L-200W</v>
      </c>
      <c r="B81" s="73" t="s">
        <v>272</v>
      </c>
      <c r="C81" s="72" t="s">
        <v>270</v>
      </c>
      <c r="D81" s="72"/>
      <c r="E81" s="72"/>
      <c r="F81" s="72">
        <v>1</v>
      </c>
      <c r="G81" s="72">
        <v>200</v>
      </c>
      <c r="H81" s="72">
        <v>19800</v>
      </c>
      <c r="I81" s="72">
        <v>24000</v>
      </c>
      <c r="J81" s="72">
        <v>245</v>
      </c>
      <c r="K81" s="72">
        <v>245</v>
      </c>
      <c r="L81" s="72">
        <v>1</v>
      </c>
      <c r="M81" s="72">
        <v>72000</v>
      </c>
      <c r="N81" s="72">
        <f t="shared" si="6"/>
        <v>1</v>
      </c>
      <c r="O81" s="72">
        <v>169.75</v>
      </c>
      <c r="P81" s="110">
        <v>59.4</v>
      </c>
      <c r="Q81" s="110">
        <v>185</v>
      </c>
      <c r="R81" s="105">
        <v>0.17</v>
      </c>
      <c r="S81" s="113"/>
    </row>
    <row r="82" spans="1:19" x14ac:dyDescent="0.2">
      <c r="A82" s="73" t="str">
        <f t="shared" si="7"/>
        <v>HPS--FT-1L-250W</v>
      </c>
      <c r="B82" s="73" t="s">
        <v>273</v>
      </c>
      <c r="C82" s="72" t="s">
        <v>270</v>
      </c>
      <c r="D82" s="72"/>
      <c r="E82" s="72"/>
      <c r="F82" s="72">
        <v>1</v>
      </c>
      <c r="G82" s="72">
        <v>250</v>
      </c>
      <c r="H82" s="72">
        <v>25200</v>
      </c>
      <c r="I82" s="72">
        <v>24000</v>
      </c>
      <c r="J82" s="72">
        <v>295</v>
      </c>
      <c r="K82" s="72">
        <v>300</v>
      </c>
      <c r="L82" s="72">
        <v>1</v>
      </c>
      <c r="M82" s="72">
        <v>72000</v>
      </c>
      <c r="N82" s="72">
        <f t="shared" si="6"/>
        <v>1</v>
      </c>
      <c r="O82" s="72">
        <v>169.75</v>
      </c>
      <c r="P82" s="110">
        <v>24.77</v>
      </c>
      <c r="Q82" s="110">
        <v>200</v>
      </c>
      <c r="R82" s="105">
        <v>0.17</v>
      </c>
      <c r="S82" s="113"/>
    </row>
    <row r="83" spans="1:19" x14ac:dyDescent="0.2">
      <c r="A83" s="73" t="str">
        <f t="shared" si="7"/>
        <v>HPS--FT-1L-400W</v>
      </c>
      <c r="B83" s="73" t="s">
        <v>274</v>
      </c>
      <c r="C83" s="72" t="s">
        <v>270</v>
      </c>
      <c r="D83" s="72"/>
      <c r="E83" s="72"/>
      <c r="F83" s="72">
        <v>1</v>
      </c>
      <c r="G83" s="72">
        <v>400</v>
      </c>
      <c r="H83" s="72">
        <v>45000</v>
      </c>
      <c r="I83" s="72">
        <v>24000</v>
      </c>
      <c r="J83" s="72">
        <v>465</v>
      </c>
      <c r="K83" s="72">
        <v>457</v>
      </c>
      <c r="L83" s="72">
        <v>1</v>
      </c>
      <c r="M83" s="72">
        <v>72000</v>
      </c>
      <c r="N83" s="72">
        <f t="shared" si="6"/>
        <v>1</v>
      </c>
      <c r="O83" s="72">
        <v>184.5</v>
      </c>
      <c r="P83" s="110">
        <v>23.68</v>
      </c>
      <c r="Q83" s="110">
        <v>360</v>
      </c>
      <c r="R83" s="105">
        <v>0.17</v>
      </c>
      <c r="S83" s="113"/>
    </row>
    <row r="84" spans="1:19" x14ac:dyDescent="0.2">
      <c r="A84" s="73" t="str">
        <f t="shared" si="7"/>
        <v>HPS--FT-1L-1000W</v>
      </c>
      <c r="B84" s="73" t="s">
        <v>275</v>
      </c>
      <c r="C84" s="72" t="s">
        <v>270</v>
      </c>
      <c r="D84" s="72"/>
      <c r="E84" s="72"/>
      <c r="F84" s="72">
        <v>1</v>
      </c>
      <c r="G84" s="72">
        <v>1000</v>
      </c>
      <c r="H84" s="72">
        <v>126000</v>
      </c>
      <c r="I84" s="72">
        <v>24000</v>
      </c>
      <c r="J84" s="72">
        <v>1102</v>
      </c>
      <c r="K84" s="72">
        <v>1100</v>
      </c>
      <c r="L84" s="72">
        <v>1</v>
      </c>
      <c r="M84" s="72">
        <v>72000</v>
      </c>
      <c r="N84" s="72">
        <f t="shared" si="6"/>
        <v>1</v>
      </c>
      <c r="O84" s="72">
        <v>184.5</v>
      </c>
      <c r="P84" s="110">
        <v>92.45</v>
      </c>
      <c r="Q84" s="110">
        <v>480</v>
      </c>
      <c r="R84" s="105">
        <v>0.17</v>
      </c>
      <c r="S84" s="113"/>
    </row>
    <row r="85" spans="1:19" x14ac:dyDescent="0.2">
      <c r="A85" s="73" t="str">
        <f t="shared" si="7"/>
        <v>LED-T8-2FT-2L-8W</v>
      </c>
      <c r="B85" s="94" t="s">
        <v>341</v>
      </c>
      <c r="C85" s="95" t="s">
        <v>331</v>
      </c>
      <c r="D85" s="95" t="s">
        <v>214</v>
      </c>
      <c r="E85" s="95">
        <v>2</v>
      </c>
      <c r="F85" s="95">
        <v>2</v>
      </c>
      <c r="G85" s="95">
        <v>8</v>
      </c>
      <c r="H85" s="95">
        <f t="shared" ref="H85:H93" si="8">800*F85</f>
        <v>1600</v>
      </c>
      <c r="I85" s="95">
        <v>50000</v>
      </c>
      <c r="J85" s="95">
        <f t="shared" ref="J85:J111" si="9">F85*G85</f>
        <v>16</v>
      </c>
      <c r="K85" s="95">
        <f t="shared" ref="K85:K111" si="10">J85</f>
        <v>16</v>
      </c>
      <c r="L85" s="72">
        <v>0</v>
      </c>
      <c r="M85" s="95">
        <v>0</v>
      </c>
      <c r="N85" s="72">
        <f t="shared" si="6"/>
        <v>1</v>
      </c>
      <c r="O85" s="95">
        <v>0</v>
      </c>
      <c r="P85" s="111">
        <v>45</v>
      </c>
      <c r="Q85" s="110">
        <v>0</v>
      </c>
      <c r="R85" s="106">
        <v>0.153</v>
      </c>
      <c r="S85" s="114"/>
    </row>
    <row r="86" spans="1:19" x14ac:dyDescent="0.2">
      <c r="A86" s="73" t="str">
        <f t="shared" si="7"/>
        <v>LED-T10-2FT-2L-8W</v>
      </c>
      <c r="B86" s="94" t="s">
        <v>340</v>
      </c>
      <c r="C86" s="95" t="s">
        <v>331</v>
      </c>
      <c r="D86" s="95" t="s">
        <v>333</v>
      </c>
      <c r="E86" s="95">
        <v>2</v>
      </c>
      <c r="F86" s="95">
        <v>2</v>
      </c>
      <c r="G86" s="95">
        <v>8</v>
      </c>
      <c r="H86" s="95">
        <f t="shared" si="8"/>
        <v>1600</v>
      </c>
      <c r="I86" s="95">
        <v>50000</v>
      </c>
      <c r="J86" s="95">
        <f t="shared" si="9"/>
        <v>16</v>
      </c>
      <c r="K86" s="95">
        <f t="shared" si="10"/>
        <v>16</v>
      </c>
      <c r="L86" s="72">
        <v>0</v>
      </c>
      <c r="M86" s="95">
        <v>0</v>
      </c>
      <c r="N86" s="72">
        <f t="shared" si="6"/>
        <v>1</v>
      </c>
      <c r="O86" s="95">
        <v>0</v>
      </c>
      <c r="P86" s="111">
        <v>45</v>
      </c>
      <c r="Q86" s="110">
        <v>0</v>
      </c>
      <c r="R86" s="106">
        <v>0.153</v>
      </c>
      <c r="S86" s="114"/>
    </row>
    <row r="87" spans="1:19" x14ac:dyDescent="0.2">
      <c r="A87" s="73" t="str">
        <f t="shared" si="7"/>
        <v>LED-T12-2FT-2L-8W</v>
      </c>
      <c r="B87" s="94" t="s">
        <v>339</v>
      </c>
      <c r="C87" s="95" t="s">
        <v>331</v>
      </c>
      <c r="D87" s="95" t="s">
        <v>212</v>
      </c>
      <c r="E87" s="95">
        <v>2</v>
      </c>
      <c r="F87" s="95">
        <v>2</v>
      </c>
      <c r="G87" s="95">
        <v>8</v>
      </c>
      <c r="H87" s="95">
        <f t="shared" si="8"/>
        <v>1600</v>
      </c>
      <c r="I87" s="95">
        <v>50000</v>
      </c>
      <c r="J87" s="95">
        <f t="shared" si="9"/>
        <v>16</v>
      </c>
      <c r="K87" s="95">
        <f t="shared" si="10"/>
        <v>16</v>
      </c>
      <c r="L87" s="72">
        <v>0</v>
      </c>
      <c r="M87" s="95">
        <v>0</v>
      </c>
      <c r="N87" s="72">
        <f t="shared" si="6"/>
        <v>1</v>
      </c>
      <c r="O87" s="95">
        <v>0</v>
      </c>
      <c r="P87" s="111">
        <v>45</v>
      </c>
      <c r="Q87" s="110">
        <v>0</v>
      </c>
      <c r="R87" s="106">
        <v>0.153</v>
      </c>
      <c r="S87" s="114"/>
    </row>
    <row r="88" spans="1:19" x14ac:dyDescent="0.2">
      <c r="A88" s="73" t="str">
        <f t="shared" si="7"/>
        <v>LED-T8-2FT-3L-8W</v>
      </c>
      <c r="B88" s="94" t="s">
        <v>341</v>
      </c>
      <c r="C88" s="95" t="s">
        <v>331</v>
      </c>
      <c r="D88" s="95" t="s">
        <v>214</v>
      </c>
      <c r="E88" s="95">
        <v>2</v>
      </c>
      <c r="F88" s="95">
        <v>3</v>
      </c>
      <c r="G88" s="95">
        <v>8</v>
      </c>
      <c r="H88" s="95">
        <f t="shared" si="8"/>
        <v>2400</v>
      </c>
      <c r="I88" s="95">
        <v>50000</v>
      </c>
      <c r="J88" s="95">
        <f t="shared" si="9"/>
        <v>24</v>
      </c>
      <c r="K88" s="95">
        <f t="shared" si="10"/>
        <v>24</v>
      </c>
      <c r="L88" s="72">
        <v>0</v>
      </c>
      <c r="M88" s="95">
        <v>0</v>
      </c>
      <c r="N88" s="72">
        <f t="shared" si="6"/>
        <v>1</v>
      </c>
      <c r="O88" s="95">
        <v>0</v>
      </c>
      <c r="P88" s="111">
        <v>45</v>
      </c>
      <c r="Q88" s="110">
        <v>0</v>
      </c>
      <c r="R88" s="106">
        <v>0.153</v>
      </c>
      <c r="S88" s="114"/>
    </row>
    <row r="89" spans="1:19" x14ac:dyDescent="0.2">
      <c r="A89" s="73" t="str">
        <f t="shared" si="7"/>
        <v>LED-T10-2FT-3L-8W</v>
      </c>
      <c r="B89" s="94" t="s">
        <v>340</v>
      </c>
      <c r="C89" s="95" t="s">
        <v>331</v>
      </c>
      <c r="D89" s="95" t="s">
        <v>333</v>
      </c>
      <c r="E89" s="95">
        <v>2</v>
      </c>
      <c r="F89" s="95">
        <v>3</v>
      </c>
      <c r="G89" s="95">
        <v>8</v>
      </c>
      <c r="H89" s="95">
        <f t="shared" si="8"/>
        <v>2400</v>
      </c>
      <c r="I89" s="95">
        <v>50000</v>
      </c>
      <c r="J89" s="95">
        <f t="shared" si="9"/>
        <v>24</v>
      </c>
      <c r="K89" s="95">
        <f t="shared" si="10"/>
        <v>24</v>
      </c>
      <c r="L89" s="72">
        <v>0</v>
      </c>
      <c r="M89" s="95">
        <v>0</v>
      </c>
      <c r="N89" s="72">
        <f t="shared" si="6"/>
        <v>1</v>
      </c>
      <c r="O89" s="95">
        <v>0</v>
      </c>
      <c r="P89" s="111">
        <v>45</v>
      </c>
      <c r="Q89" s="110">
        <v>0</v>
      </c>
      <c r="R89" s="106">
        <v>0.153</v>
      </c>
      <c r="S89" s="114"/>
    </row>
    <row r="90" spans="1:19" x14ac:dyDescent="0.2">
      <c r="A90" s="73" t="str">
        <f t="shared" si="7"/>
        <v>LED-T12-2FT-3L-8W</v>
      </c>
      <c r="B90" s="94" t="s">
        <v>339</v>
      </c>
      <c r="C90" s="95" t="s">
        <v>331</v>
      </c>
      <c r="D90" s="95" t="s">
        <v>212</v>
      </c>
      <c r="E90" s="95">
        <v>2</v>
      </c>
      <c r="F90" s="95">
        <v>3</v>
      </c>
      <c r="G90" s="95">
        <v>8</v>
      </c>
      <c r="H90" s="95">
        <f t="shared" si="8"/>
        <v>2400</v>
      </c>
      <c r="I90" s="95">
        <v>50000</v>
      </c>
      <c r="J90" s="95">
        <f t="shared" si="9"/>
        <v>24</v>
      </c>
      <c r="K90" s="95">
        <f t="shared" si="10"/>
        <v>24</v>
      </c>
      <c r="L90" s="72">
        <v>0</v>
      </c>
      <c r="M90" s="95">
        <v>0</v>
      </c>
      <c r="N90" s="72">
        <f t="shared" si="6"/>
        <v>1</v>
      </c>
      <c r="O90" s="95">
        <v>0</v>
      </c>
      <c r="P90" s="111">
        <v>45</v>
      </c>
      <c r="Q90" s="110">
        <v>0</v>
      </c>
      <c r="R90" s="106">
        <v>0.153</v>
      </c>
      <c r="S90" s="114"/>
    </row>
    <row r="91" spans="1:19" x14ac:dyDescent="0.2">
      <c r="A91" s="73" t="str">
        <f t="shared" si="7"/>
        <v>LED-T8-2FT-4L-8W</v>
      </c>
      <c r="B91" s="94" t="s">
        <v>341</v>
      </c>
      <c r="C91" s="95" t="s">
        <v>331</v>
      </c>
      <c r="D91" s="95" t="s">
        <v>214</v>
      </c>
      <c r="E91" s="95">
        <v>2</v>
      </c>
      <c r="F91" s="95">
        <v>4</v>
      </c>
      <c r="G91" s="95">
        <v>8</v>
      </c>
      <c r="H91" s="95">
        <f t="shared" si="8"/>
        <v>3200</v>
      </c>
      <c r="I91" s="95">
        <v>50000</v>
      </c>
      <c r="J91" s="95">
        <f t="shared" si="9"/>
        <v>32</v>
      </c>
      <c r="K91" s="95">
        <f t="shared" si="10"/>
        <v>32</v>
      </c>
      <c r="L91" s="72">
        <v>0</v>
      </c>
      <c r="M91" s="95">
        <v>0</v>
      </c>
      <c r="N91" s="72">
        <f t="shared" si="6"/>
        <v>1</v>
      </c>
      <c r="O91" s="95">
        <v>0</v>
      </c>
      <c r="P91" s="111">
        <v>45</v>
      </c>
      <c r="Q91" s="110">
        <v>0</v>
      </c>
      <c r="R91" s="106">
        <v>0.153</v>
      </c>
      <c r="S91" s="114"/>
    </row>
    <row r="92" spans="1:19" x14ac:dyDescent="0.2">
      <c r="A92" s="73" t="str">
        <f t="shared" si="7"/>
        <v>LED-T10-2FT-4L-8W</v>
      </c>
      <c r="B92" s="94" t="s">
        <v>340</v>
      </c>
      <c r="C92" s="95" t="s">
        <v>331</v>
      </c>
      <c r="D92" s="95" t="s">
        <v>333</v>
      </c>
      <c r="E92" s="95">
        <v>2</v>
      </c>
      <c r="F92" s="95">
        <v>4</v>
      </c>
      <c r="G92" s="95">
        <v>8</v>
      </c>
      <c r="H92" s="95">
        <f t="shared" si="8"/>
        <v>3200</v>
      </c>
      <c r="I92" s="95">
        <v>50000</v>
      </c>
      <c r="J92" s="95">
        <f t="shared" si="9"/>
        <v>32</v>
      </c>
      <c r="K92" s="95">
        <f t="shared" si="10"/>
        <v>32</v>
      </c>
      <c r="L92" s="72">
        <v>0</v>
      </c>
      <c r="M92" s="95">
        <v>0</v>
      </c>
      <c r="N92" s="72">
        <f t="shared" ref="N92:N114" si="11">IF(J92="","",IF(J92/(G92*F92)&gt;1,1,J92/(G92*F92)))</f>
        <v>1</v>
      </c>
      <c r="O92" s="95">
        <v>0</v>
      </c>
      <c r="P92" s="111">
        <v>45</v>
      </c>
      <c r="Q92" s="110">
        <v>0</v>
      </c>
      <c r="R92" s="106">
        <v>0.153</v>
      </c>
      <c r="S92" s="114"/>
    </row>
    <row r="93" spans="1:19" x14ac:dyDescent="0.2">
      <c r="A93" s="73" t="str">
        <f t="shared" si="7"/>
        <v>LED-T12-2FT-4L-8W</v>
      </c>
      <c r="B93" s="94" t="s">
        <v>339</v>
      </c>
      <c r="C93" s="95" t="s">
        <v>331</v>
      </c>
      <c r="D93" s="95" t="s">
        <v>212</v>
      </c>
      <c r="E93" s="95">
        <v>2</v>
      </c>
      <c r="F93" s="95">
        <v>4</v>
      </c>
      <c r="G93" s="95">
        <v>8</v>
      </c>
      <c r="H93" s="95">
        <f t="shared" si="8"/>
        <v>3200</v>
      </c>
      <c r="I93" s="95">
        <v>50000</v>
      </c>
      <c r="J93" s="95">
        <f t="shared" si="9"/>
        <v>32</v>
      </c>
      <c r="K93" s="95">
        <f t="shared" si="10"/>
        <v>32</v>
      </c>
      <c r="L93" s="72">
        <v>0</v>
      </c>
      <c r="M93" s="95">
        <v>0</v>
      </c>
      <c r="N93" s="72">
        <f t="shared" si="11"/>
        <v>1</v>
      </c>
      <c r="O93" s="95">
        <v>0</v>
      </c>
      <c r="P93" s="111">
        <v>45</v>
      </c>
      <c r="Q93" s="110">
        <v>0</v>
      </c>
      <c r="R93" s="106">
        <v>0.153</v>
      </c>
      <c r="S93" s="114"/>
    </row>
    <row r="94" spans="1:19" x14ac:dyDescent="0.2">
      <c r="A94" s="73" t="str">
        <f t="shared" si="7"/>
        <v>LED-T8-4FT-2L-15W</v>
      </c>
      <c r="B94" s="94" t="s">
        <v>338</v>
      </c>
      <c r="C94" s="95" t="s">
        <v>331</v>
      </c>
      <c r="D94" s="95" t="s">
        <v>214</v>
      </c>
      <c r="E94" s="95">
        <v>4</v>
      </c>
      <c r="F94" s="95">
        <v>2</v>
      </c>
      <c r="G94" s="95">
        <v>15</v>
      </c>
      <c r="H94" s="96">
        <f t="shared" ref="H94:H102" si="12">1500*F94</f>
        <v>3000</v>
      </c>
      <c r="I94" s="95">
        <v>50000</v>
      </c>
      <c r="J94" s="95">
        <f t="shared" si="9"/>
        <v>30</v>
      </c>
      <c r="K94" s="95">
        <f t="shared" si="10"/>
        <v>30</v>
      </c>
      <c r="L94" s="72">
        <v>0</v>
      </c>
      <c r="M94" s="95">
        <v>0</v>
      </c>
      <c r="N94" s="72">
        <f t="shared" si="11"/>
        <v>1</v>
      </c>
      <c r="O94" s="95">
        <v>0</v>
      </c>
      <c r="P94" s="111">
        <v>60</v>
      </c>
      <c r="Q94" s="110">
        <v>0</v>
      </c>
      <c r="R94" s="106">
        <v>0.19800000000000001</v>
      </c>
      <c r="S94" s="114"/>
    </row>
    <row r="95" spans="1:19" x14ac:dyDescent="0.2">
      <c r="A95" s="73" t="str">
        <f t="shared" si="7"/>
        <v>LED-T10-4FT-2L-15W</v>
      </c>
      <c r="B95" s="94" t="s">
        <v>337</v>
      </c>
      <c r="C95" s="95" t="s">
        <v>331</v>
      </c>
      <c r="D95" s="95" t="s">
        <v>333</v>
      </c>
      <c r="E95" s="95">
        <v>4</v>
      </c>
      <c r="F95" s="95">
        <v>2</v>
      </c>
      <c r="G95" s="95">
        <v>15</v>
      </c>
      <c r="H95" s="96">
        <f t="shared" si="12"/>
        <v>3000</v>
      </c>
      <c r="I95" s="95">
        <v>50000</v>
      </c>
      <c r="J95" s="95">
        <f t="shared" si="9"/>
        <v>30</v>
      </c>
      <c r="K95" s="95">
        <f t="shared" si="10"/>
        <v>30</v>
      </c>
      <c r="L95" s="72">
        <v>0</v>
      </c>
      <c r="M95" s="95">
        <v>0</v>
      </c>
      <c r="N95" s="72">
        <f t="shared" si="11"/>
        <v>1</v>
      </c>
      <c r="O95" s="95">
        <v>0</v>
      </c>
      <c r="P95" s="111">
        <v>60</v>
      </c>
      <c r="Q95" s="110">
        <v>0</v>
      </c>
      <c r="R95" s="106">
        <v>0.19800000000000001</v>
      </c>
      <c r="S95" s="114"/>
    </row>
    <row r="96" spans="1:19" x14ac:dyDescent="0.2">
      <c r="A96" s="73" t="str">
        <f t="shared" si="7"/>
        <v>LED-T12-4FT-2L-15W</v>
      </c>
      <c r="B96" s="94" t="s">
        <v>336</v>
      </c>
      <c r="C96" s="95" t="s">
        <v>331</v>
      </c>
      <c r="D96" s="95" t="s">
        <v>212</v>
      </c>
      <c r="E96" s="95">
        <v>4</v>
      </c>
      <c r="F96" s="95">
        <v>2</v>
      </c>
      <c r="G96" s="95">
        <v>15</v>
      </c>
      <c r="H96" s="96">
        <f t="shared" si="12"/>
        <v>3000</v>
      </c>
      <c r="I96" s="95">
        <v>50000</v>
      </c>
      <c r="J96" s="95">
        <f t="shared" si="9"/>
        <v>30</v>
      </c>
      <c r="K96" s="95">
        <f t="shared" si="10"/>
        <v>30</v>
      </c>
      <c r="L96" s="72">
        <v>0</v>
      </c>
      <c r="M96" s="95">
        <v>0</v>
      </c>
      <c r="N96" s="72">
        <f t="shared" si="11"/>
        <v>1</v>
      </c>
      <c r="O96" s="95">
        <v>0</v>
      </c>
      <c r="P96" s="111">
        <v>60</v>
      </c>
      <c r="Q96" s="110">
        <v>0</v>
      </c>
      <c r="R96" s="106">
        <v>0.19800000000000001</v>
      </c>
      <c r="S96" s="114"/>
    </row>
    <row r="97" spans="1:19" x14ac:dyDescent="0.2">
      <c r="A97" s="73" t="str">
        <f t="shared" si="7"/>
        <v>LED-T8-4FT-3L-15W</v>
      </c>
      <c r="B97" s="94" t="s">
        <v>338</v>
      </c>
      <c r="C97" s="95" t="s">
        <v>331</v>
      </c>
      <c r="D97" s="95" t="s">
        <v>214</v>
      </c>
      <c r="E97" s="95">
        <v>4</v>
      </c>
      <c r="F97" s="95">
        <v>3</v>
      </c>
      <c r="G97" s="95">
        <v>15</v>
      </c>
      <c r="H97" s="96">
        <f t="shared" si="12"/>
        <v>4500</v>
      </c>
      <c r="I97" s="95">
        <v>50000</v>
      </c>
      <c r="J97" s="95">
        <f t="shared" si="9"/>
        <v>45</v>
      </c>
      <c r="K97" s="95">
        <f t="shared" si="10"/>
        <v>45</v>
      </c>
      <c r="L97" s="72">
        <v>0</v>
      </c>
      <c r="M97" s="95">
        <v>0</v>
      </c>
      <c r="N97" s="72">
        <f t="shared" si="11"/>
        <v>1</v>
      </c>
      <c r="O97" s="95">
        <v>0</v>
      </c>
      <c r="P97" s="111">
        <v>60</v>
      </c>
      <c r="Q97" s="110">
        <v>0</v>
      </c>
      <c r="R97" s="106">
        <v>0.19800000000000001</v>
      </c>
      <c r="S97" s="114"/>
    </row>
    <row r="98" spans="1:19" x14ac:dyDescent="0.2">
      <c r="A98" s="73" t="str">
        <f t="shared" ref="A98:A114" si="13">IF(C98="","",""&amp;C98&amp;"-"&amp;D98&amp;"-"&amp;E98&amp;"FT-"&amp;F98&amp;"L-"&amp;G98&amp;"W")</f>
        <v>LED-T10-4FT-3L-15W</v>
      </c>
      <c r="B98" s="94" t="s">
        <v>337</v>
      </c>
      <c r="C98" s="95" t="s">
        <v>331</v>
      </c>
      <c r="D98" s="95" t="s">
        <v>333</v>
      </c>
      <c r="E98" s="95">
        <v>4</v>
      </c>
      <c r="F98" s="95">
        <v>3</v>
      </c>
      <c r="G98" s="95">
        <v>15</v>
      </c>
      <c r="H98" s="96">
        <f t="shared" si="12"/>
        <v>4500</v>
      </c>
      <c r="I98" s="95">
        <v>50000</v>
      </c>
      <c r="J98" s="95">
        <f t="shared" si="9"/>
        <v>45</v>
      </c>
      <c r="K98" s="95">
        <f t="shared" si="10"/>
        <v>45</v>
      </c>
      <c r="L98" s="72">
        <v>0</v>
      </c>
      <c r="M98" s="95">
        <v>0</v>
      </c>
      <c r="N98" s="72">
        <f t="shared" si="11"/>
        <v>1</v>
      </c>
      <c r="O98" s="95">
        <v>0</v>
      </c>
      <c r="P98" s="111">
        <v>60</v>
      </c>
      <c r="Q98" s="110">
        <v>0</v>
      </c>
      <c r="R98" s="106">
        <v>0.19800000000000001</v>
      </c>
      <c r="S98" s="114"/>
    </row>
    <row r="99" spans="1:19" x14ac:dyDescent="0.2">
      <c r="A99" s="73" t="str">
        <f t="shared" si="13"/>
        <v>LED-T12-4FT-3L-15W</v>
      </c>
      <c r="B99" s="94" t="s">
        <v>336</v>
      </c>
      <c r="C99" s="95" t="s">
        <v>331</v>
      </c>
      <c r="D99" s="95" t="s">
        <v>212</v>
      </c>
      <c r="E99" s="95">
        <v>4</v>
      </c>
      <c r="F99" s="95">
        <v>3</v>
      </c>
      <c r="G99" s="95">
        <v>15</v>
      </c>
      <c r="H99" s="96">
        <f t="shared" si="12"/>
        <v>4500</v>
      </c>
      <c r="I99" s="95">
        <v>50000</v>
      </c>
      <c r="J99" s="95">
        <f t="shared" si="9"/>
        <v>45</v>
      </c>
      <c r="K99" s="95">
        <f t="shared" si="10"/>
        <v>45</v>
      </c>
      <c r="L99" s="72">
        <v>0</v>
      </c>
      <c r="M99" s="95">
        <v>0</v>
      </c>
      <c r="N99" s="72">
        <f t="shared" si="11"/>
        <v>1</v>
      </c>
      <c r="O99" s="95">
        <v>0</v>
      </c>
      <c r="P99" s="111">
        <v>60</v>
      </c>
      <c r="Q99" s="110">
        <v>0</v>
      </c>
      <c r="R99" s="106">
        <v>0.19800000000000001</v>
      </c>
      <c r="S99" s="114"/>
    </row>
    <row r="100" spans="1:19" x14ac:dyDescent="0.2">
      <c r="A100" s="73" t="str">
        <f t="shared" si="13"/>
        <v>LED-T8-4FT-4L-15W</v>
      </c>
      <c r="B100" s="94" t="s">
        <v>338</v>
      </c>
      <c r="C100" s="95" t="s">
        <v>331</v>
      </c>
      <c r="D100" s="95" t="s">
        <v>214</v>
      </c>
      <c r="E100" s="95">
        <v>4</v>
      </c>
      <c r="F100" s="95">
        <v>4</v>
      </c>
      <c r="G100" s="95">
        <v>15</v>
      </c>
      <c r="H100" s="96">
        <f t="shared" si="12"/>
        <v>6000</v>
      </c>
      <c r="I100" s="95">
        <v>50000</v>
      </c>
      <c r="J100" s="95">
        <f t="shared" si="9"/>
        <v>60</v>
      </c>
      <c r="K100" s="95">
        <f t="shared" si="10"/>
        <v>60</v>
      </c>
      <c r="L100" s="72">
        <v>0</v>
      </c>
      <c r="M100" s="95">
        <v>0</v>
      </c>
      <c r="N100" s="72">
        <f t="shared" si="11"/>
        <v>1</v>
      </c>
      <c r="O100" s="95">
        <v>0</v>
      </c>
      <c r="P100" s="111">
        <v>60</v>
      </c>
      <c r="Q100" s="110">
        <v>0</v>
      </c>
      <c r="R100" s="106">
        <v>0.19800000000000001</v>
      </c>
      <c r="S100" s="114"/>
    </row>
    <row r="101" spans="1:19" x14ac:dyDescent="0.2">
      <c r="A101" s="73" t="str">
        <f t="shared" si="13"/>
        <v>LED-T10-4FT-4L-15W</v>
      </c>
      <c r="B101" s="94" t="s">
        <v>337</v>
      </c>
      <c r="C101" s="95" t="s">
        <v>331</v>
      </c>
      <c r="D101" s="95" t="s">
        <v>333</v>
      </c>
      <c r="E101" s="95">
        <v>4</v>
      </c>
      <c r="F101" s="95">
        <v>4</v>
      </c>
      <c r="G101" s="95">
        <v>15</v>
      </c>
      <c r="H101" s="96">
        <f t="shared" si="12"/>
        <v>6000</v>
      </c>
      <c r="I101" s="95">
        <v>50000</v>
      </c>
      <c r="J101" s="95">
        <f t="shared" si="9"/>
        <v>60</v>
      </c>
      <c r="K101" s="95">
        <f t="shared" si="10"/>
        <v>60</v>
      </c>
      <c r="L101" s="72">
        <v>0</v>
      </c>
      <c r="M101" s="95">
        <v>0</v>
      </c>
      <c r="N101" s="72">
        <f t="shared" si="11"/>
        <v>1</v>
      </c>
      <c r="O101" s="95">
        <v>0</v>
      </c>
      <c r="P101" s="111">
        <v>60</v>
      </c>
      <c r="Q101" s="110">
        <v>0</v>
      </c>
      <c r="R101" s="106">
        <v>0.19800000000000001</v>
      </c>
      <c r="S101" s="114"/>
    </row>
    <row r="102" spans="1:19" x14ac:dyDescent="0.2">
      <c r="A102" s="73" t="str">
        <f t="shared" si="13"/>
        <v>LED-T12-4FT-4L-15W</v>
      </c>
      <c r="B102" s="94" t="s">
        <v>336</v>
      </c>
      <c r="C102" s="95" t="s">
        <v>331</v>
      </c>
      <c r="D102" s="95" t="s">
        <v>212</v>
      </c>
      <c r="E102" s="95">
        <v>4</v>
      </c>
      <c r="F102" s="95">
        <v>4</v>
      </c>
      <c r="G102" s="95">
        <v>15</v>
      </c>
      <c r="H102" s="96">
        <f t="shared" si="12"/>
        <v>6000</v>
      </c>
      <c r="I102" s="95">
        <v>50000</v>
      </c>
      <c r="J102" s="95">
        <f t="shared" si="9"/>
        <v>60</v>
      </c>
      <c r="K102" s="95">
        <f t="shared" si="10"/>
        <v>60</v>
      </c>
      <c r="L102" s="72">
        <v>0</v>
      </c>
      <c r="M102" s="95">
        <v>0</v>
      </c>
      <c r="N102" s="72">
        <f t="shared" si="11"/>
        <v>1</v>
      </c>
      <c r="O102" s="95">
        <v>0</v>
      </c>
      <c r="P102" s="111">
        <v>60</v>
      </c>
      <c r="Q102" s="110">
        <v>0</v>
      </c>
      <c r="R102" s="106">
        <v>0.19800000000000001</v>
      </c>
      <c r="S102" s="114"/>
    </row>
    <row r="103" spans="1:19" x14ac:dyDescent="0.2">
      <c r="A103" s="73" t="str">
        <f t="shared" si="13"/>
        <v>LED-T8-8FT-2L-30W</v>
      </c>
      <c r="B103" s="94" t="s">
        <v>335</v>
      </c>
      <c r="C103" s="95" t="s">
        <v>331</v>
      </c>
      <c r="D103" s="95" t="s">
        <v>214</v>
      </c>
      <c r="E103" s="95">
        <v>8</v>
      </c>
      <c r="F103" s="95">
        <v>2</v>
      </c>
      <c r="G103" s="95">
        <v>30</v>
      </c>
      <c r="H103" s="96">
        <f t="shared" ref="H103:H111" si="14">2900*F103</f>
        <v>5800</v>
      </c>
      <c r="I103" s="95">
        <v>50000</v>
      </c>
      <c r="J103" s="95">
        <f t="shared" si="9"/>
        <v>60</v>
      </c>
      <c r="K103" s="95">
        <f t="shared" si="10"/>
        <v>60</v>
      </c>
      <c r="L103" s="72">
        <v>0</v>
      </c>
      <c r="M103" s="95">
        <v>0</v>
      </c>
      <c r="N103" s="72">
        <f t="shared" si="11"/>
        <v>1</v>
      </c>
      <c r="O103" s="95">
        <v>0</v>
      </c>
      <c r="P103" s="111">
        <v>75</v>
      </c>
      <c r="Q103" s="110">
        <v>0</v>
      </c>
      <c r="R103" s="106">
        <v>0.112</v>
      </c>
      <c r="S103" s="114"/>
    </row>
    <row r="104" spans="1:19" x14ac:dyDescent="0.2">
      <c r="A104" s="73" t="str">
        <f t="shared" si="13"/>
        <v>LED-T10-8FT-2L-30W</v>
      </c>
      <c r="B104" s="94" t="s">
        <v>334</v>
      </c>
      <c r="C104" s="95" t="s">
        <v>331</v>
      </c>
      <c r="D104" s="95" t="s">
        <v>333</v>
      </c>
      <c r="E104" s="95">
        <v>8</v>
      </c>
      <c r="F104" s="95">
        <v>2</v>
      </c>
      <c r="G104" s="95">
        <v>30</v>
      </c>
      <c r="H104" s="96">
        <f t="shared" si="14"/>
        <v>5800</v>
      </c>
      <c r="I104" s="95">
        <v>50000</v>
      </c>
      <c r="J104" s="95">
        <f t="shared" si="9"/>
        <v>60</v>
      </c>
      <c r="K104" s="95">
        <f t="shared" si="10"/>
        <v>60</v>
      </c>
      <c r="L104" s="72">
        <v>0</v>
      </c>
      <c r="M104" s="95">
        <v>0</v>
      </c>
      <c r="N104" s="72">
        <f t="shared" si="11"/>
        <v>1</v>
      </c>
      <c r="O104" s="95">
        <v>0</v>
      </c>
      <c r="P104" s="111">
        <v>75</v>
      </c>
      <c r="Q104" s="110">
        <v>0</v>
      </c>
      <c r="R104" s="106">
        <v>0.112</v>
      </c>
      <c r="S104" s="114"/>
    </row>
    <row r="105" spans="1:19" x14ac:dyDescent="0.2">
      <c r="A105" s="73" t="str">
        <f t="shared" si="13"/>
        <v>LED-T12-8FT-2L-30W</v>
      </c>
      <c r="B105" s="94" t="s">
        <v>332</v>
      </c>
      <c r="C105" s="95" t="s">
        <v>331</v>
      </c>
      <c r="D105" s="95" t="s">
        <v>212</v>
      </c>
      <c r="E105" s="95">
        <v>8</v>
      </c>
      <c r="F105" s="95">
        <v>2</v>
      </c>
      <c r="G105" s="95">
        <v>30</v>
      </c>
      <c r="H105" s="96">
        <f t="shared" si="14"/>
        <v>5800</v>
      </c>
      <c r="I105" s="95">
        <v>50000</v>
      </c>
      <c r="J105" s="95">
        <f t="shared" si="9"/>
        <v>60</v>
      </c>
      <c r="K105" s="95">
        <f t="shared" si="10"/>
        <v>60</v>
      </c>
      <c r="L105" s="72">
        <v>0</v>
      </c>
      <c r="M105" s="95">
        <v>0</v>
      </c>
      <c r="N105" s="72">
        <f t="shared" si="11"/>
        <v>1</v>
      </c>
      <c r="O105" s="95">
        <v>0</v>
      </c>
      <c r="P105" s="111">
        <v>75</v>
      </c>
      <c r="Q105" s="110">
        <v>0</v>
      </c>
      <c r="R105" s="106">
        <v>0.112</v>
      </c>
      <c r="S105" s="114"/>
    </row>
    <row r="106" spans="1:19" x14ac:dyDescent="0.2">
      <c r="A106" s="73" t="str">
        <f t="shared" si="13"/>
        <v>LED-T8-8FT-3L-30W</v>
      </c>
      <c r="B106" s="94" t="s">
        <v>335</v>
      </c>
      <c r="C106" s="95" t="s">
        <v>331</v>
      </c>
      <c r="D106" s="95" t="s">
        <v>214</v>
      </c>
      <c r="E106" s="95">
        <v>8</v>
      </c>
      <c r="F106" s="95">
        <v>3</v>
      </c>
      <c r="G106" s="95">
        <v>30</v>
      </c>
      <c r="H106" s="96">
        <f t="shared" si="14"/>
        <v>8700</v>
      </c>
      <c r="I106" s="95">
        <v>50000</v>
      </c>
      <c r="J106" s="95">
        <f t="shared" si="9"/>
        <v>90</v>
      </c>
      <c r="K106" s="95">
        <f t="shared" si="10"/>
        <v>90</v>
      </c>
      <c r="L106" s="72">
        <v>0</v>
      </c>
      <c r="M106" s="95">
        <v>0</v>
      </c>
      <c r="N106" s="72">
        <f t="shared" si="11"/>
        <v>1</v>
      </c>
      <c r="O106" s="95">
        <v>0</v>
      </c>
      <c r="P106" s="111">
        <v>75</v>
      </c>
      <c r="Q106" s="110">
        <v>0</v>
      </c>
      <c r="R106" s="106">
        <v>0.112</v>
      </c>
      <c r="S106" s="114"/>
    </row>
    <row r="107" spans="1:19" x14ac:dyDescent="0.2">
      <c r="A107" s="73" t="str">
        <f t="shared" si="13"/>
        <v>LED-T10-8FT-3L-30W</v>
      </c>
      <c r="B107" s="94" t="s">
        <v>334</v>
      </c>
      <c r="C107" s="95" t="s">
        <v>331</v>
      </c>
      <c r="D107" s="95" t="s">
        <v>333</v>
      </c>
      <c r="E107" s="95">
        <v>8</v>
      </c>
      <c r="F107" s="95">
        <v>3</v>
      </c>
      <c r="G107" s="95">
        <v>30</v>
      </c>
      <c r="H107" s="96">
        <f t="shared" si="14"/>
        <v>8700</v>
      </c>
      <c r="I107" s="95">
        <v>50000</v>
      </c>
      <c r="J107" s="95">
        <f t="shared" si="9"/>
        <v>90</v>
      </c>
      <c r="K107" s="95">
        <f t="shared" si="10"/>
        <v>90</v>
      </c>
      <c r="L107" s="72">
        <v>0</v>
      </c>
      <c r="M107" s="95">
        <v>0</v>
      </c>
      <c r="N107" s="72">
        <f t="shared" si="11"/>
        <v>1</v>
      </c>
      <c r="O107" s="95">
        <v>0</v>
      </c>
      <c r="P107" s="111">
        <v>75</v>
      </c>
      <c r="Q107" s="110">
        <v>0</v>
      </c>
      <c r="R107" s="106">
        <v>0.112</v>
      </c>
      <c r="S107" s="114"/>
    </row>
    <row r="108" spans="1:19" x14ac:dyDescent="0.2">
      <c r="A108" s="73" t="str">
        <f t="shared" si="13"/>
        <v>LED-T12-8FT-3L-30W</v>
      </c>
      <c r="B108" s="94" t="s">
        <v>332</v>
      </c>
      <c r="C108" s="95" t="s">
        <v>331</v>
      </c>
      <c r="D108" s="95" t="s">
        <v>212</v>
      </c>
      <c r="E108" s="95">
        <v>8</v>
      </c>
      <c r="F108" s="95">
        <v>3</v>
      </c>
      <c r="G108" s="95">
        <v>30</v>
      </c>
      <c r="H108" s="96">
        <f t="shared" si="14"/>
        <v>8700</v>
      </c>
      <c r="I108" s="95">
        <v>50000</v>
      </c>
      <c r="J108" s="95">
        <f t="shared" si="9"/>
        <v>90</v>
      </c>
      <c r="K108" s="95">
        <f t="shared" si="10"/>
        <v>90</v>
      </c>
      <c r="L108" s="72">
        <v>0</v>
      </c>
      <c r="M108" s="95">
        <v>0</v>
      </c>
      <c r="N108" s="72">
        <f t="shared" si="11"/>
        <v>1</v>
      </c>
      <c r="O108" s="95">
        <v>0</v>
      </c>
      <c r="P108" s="111">
        <v>75</v>
      </c>
      <c r="Q108" s="110">
        <v>0</v>
      </c>
      <c r="R108" s="106">
        <v>0.112</v>
      </c>
      <c r="S108" s="114"/>
    </row>
    <row r="109" spans="1:19" x14ac:dyDescent="0.2">
      <c r="A109" s="73" t="str">
        <f t="shared" si="13"/>
        <v>LED-T8-8FT-4L-30W</v>
      </c>
      <c r="B109" s="94" t="s">
        <v>335</v>
      </c>
      <c r="C109" s="95" t="s">
        <v>331</v>
      </c>
      <c r="D109" s="95" t="s">
        <v>214</v>
      </c>
      <c r="E109" s="95">
        <v>8</v>
      </c>
      <c r="F109" s="95">
        <v>4</v>
      </c>
      <c r="G109" s="95">
        <v>30</v>
      </c>
      <c r="H109" s="96">
        <f t="shared" si="14"/>
        <v>11600</v>
      </c>
      <c r="I109" s="95">
        <v>50000</v>
      </c>
      <c r="J109" s="95">
        <f t="shared" si="9"/>
        <v>120</v>
      </c>
      <c r="K109" s="95">
        <f t="shared" si="10"/>
        <v>120</v>
      </c>
      <c r="L109" s="72">
        <v>0</v>
      </c>
      <c r="M109" s="95">
        <v>0</v>
      </c>
      <c r="N109" s="72">
        <f t="shared" si="11"/>
        <v>1</v>
      </c>
      <c r="O109" s="95">
        <v>0</v>
      </c>
      <c r="P109" s="111">
        <v>75</v>
      </c>
      <c r="Q109" s="110">
        <v>0</v>
      </c>
      <c r="R109" s="106">
        <v>0.112</v>
      </c>
      <c r="S109" s="114"/>
    </row>
    <row r="110" spans="1:19" x14ac:dyDescent="0.2">
      <c r="A110" s="73" t="str">
        <f t="shared" si="13"/>
        <v>LED-T10-8FT-4L-30W</v>
      </c>
      <c r="B110" s="94" t="s">
        <v>334</v>
      </c>
      <c r="C110" s="95" t="s">
        <v>331</v>
      </c>
      <c r="D110" s="95" t="s">
        <v>333</v>
      </c>
      <c r="E110" s="95">
        <v>8</v>
      </c>
      <c r="F110" s="95">
        <v>4</v>
      </c>
      <c r="G110" s="95">
        <v>30</v>
      </c>
      <c r="H110" s="96">
        <f t="shared" si="14"/>
        <v>11600</v>
      </c>
      <c r="I110" s="95">
        <v>50000</v>
      </c>
      <c r="J110" s="95">
        <f t="shared" si="9"/>
        <v>120</v>
      </c>
      <c r="K110" s="95">
        <f t="shared" si="10"/>
        <v>120</v>
      </c>
      <c r="L110" s="72">
        <v>0</v>
      </c>
      <c r="M110" s="95">
        <v>0</v>
      </c>
      <c r="N110" s="72">
        <f t="shared" si="11"/>
        <v>1</v>
      </c>
      <c r="O110" s="95">
        <v>0</v>
      </c>
      <c r="P110" s="111">
        <v>75</v>
      </c>
      <c r="Q110" s="110">
        <v>0</v>
      </c>
      <c r="R110" s="106">
        <v>0.112</v>
      </c>
      <c r="S110" s="114"/>
    </row>
    <row r="111" spans="1:19" x14ac:dyDescent="0.2">
      <c r="A111" s="73" t="str">
        <f t="shared" si="13"/>
        <v>LED-T12-8FT-4L-30W</v>
      </c>
      <c r="B111" s="94" t="s">
        <v>332</v>
      </c>
      <c r="C111" s="95" t="s">
        <v>331</v>
      </c>
      <c r="D111" s="95" t="s">
        <v>212</v>
      </c>
      <c r="E111" s="95">
        <v>8</v>
      </c>
      <c r="F111" s="95">
        <v>4</v>
      </c>
      <c r="G111" s="95">
        <v>30</v>
      </c>
      <c r="H111" s="96">
        <f t="shared" si="14"/>
        <v>11600</v>
      </c>
      <c r="I111" s="95">
        <v>50000</v>
      </c>
      <c r="J111" s="95">
        <f t="shared" si="9"/>
        <v>120</v>
      </c>
      <c r="K111" s="95">
        <f t="shared" si="10"/>
        <v>120</v>
      </c>
      <c r="L111" s="72">
        <v>0</v>
      </c>
      <c r="M111" s="95">
        <v>0</v>
      </c>
      <c r="N111" s="72">
        <f t="shared" si="11"/>
        <v>1</v>
      </c>
      <c r="O111" s="95">
        <v>0</v>
      </c>
      <c r="P111" s="111">
        <v>75</v>
      </c>
      <c r="Q111" s="110">
        <v>0</v>
      </c>
      <c r="R111" s="106">
        <v>0.112</v>
      </c>
      <c r="S111" s="114"/>
    </row>
    <row r="112" spans="1:19" x14ac:dyDescent="0.2">
      <c r="A112" s="73" t="str">
        <f t="shared" si="13"/>
        <v>LED--FT-1L-60W</v>
      </c>
      <c r="B112" s="73" t="s">
        <v>367</v>
      </c>
      <c r="C112" s="72" t="s">
        <v>331</v>
      </c>
      <c r="D112" s="72"/>
      <c r="E112" s="72"/>
      <c r="F112" s="72">
        <v>1</v>
      </c>
      <c r="G112" s="72">
        <v>60</v>
      </c>
      <c r="H112" s="72">
        <v>2700</v>
      </c>
      <c r="I112" s="72">
        <v>50000</v>
      </c>
      <c r="J112" s="72">
        <v>60</v>
      </c>
      <c r="K112" s="72">
        <v>60</v>
      </c>
      <c r="L112" s="72">
        <v>1</v>
      </c>
      <c r="M112" s="72">
        <v>50000</v>
      </c>
      <c r="N112" s="72">
        <f t="shared" si="11"/>
        <v>1</v>
      </c>
      <c r="O112" s="72">
        <v>398</v>
      </c>
      <c r="P112" s="110">
        <v>198</v>
      </c>
      <c r="Q112" s="110">
        <v>198</v>
      </c>
      <c r="R112" s="105">
        <v>6.6000000000000003E-2</v>
      </c>
      <c r="S112" s="113" t="s">
        <v>369</v>
      </c>
    </row>
    <row r="113" spans="1:19" x14ac:dyDescent="0.2">
      <c r="A113" s="73" t="str">
        <f t="shared" si="13"/>
        <v>LED--FT-1L-78W</v>
      </c>
      <c r="B113" s="73" t="s">
        <v>370</v>
      </c>
      <c r="C113" s="72" t="s">
        <v>331</v>
      </c>
      <c r="D113" s="72"/>
      <c r="E113" s="72"/>
      <c r="F113" s="72">
        <v>1</v>
      </c>
      <c r="G113" s="72">
        <v>78</v>
      </c>
      <c r="H113" s="72">
        <v>15816</v>
      </c>
      <c r="I113" s="72">
        <v>50000</v>
      </c>
      <c r="J113" s="72">
        <v>90</v>
      </c>
      <c r="K113" s="72">
        <v>90</v>
      </c>
      <c r="L113" s="72">
        <v>1</v>
      </c>
      <c r="M113" s="72">
        <v>50000</v>
      </c>
      <c r="N113" s="72">
        <f t="shared" si="11"/>
        <v>1</v>
      </c>
      <c r="O113" s="72">
        <v>533.75</v>
      </c>
      <c r="P113" s="110">
        <v>267</v>
      </c>
      <c r="Q113" s="110">
        <v>267</v>
      </c>
      <c r="R113" s="105">
        <v>7.0000000000000007E-2</v>
      </c>
      <c r="S113" s="113" t="s">
        <v>371</v>
      </c>
    </row>
    <row r="114" spans="1:19" x14ac:dyDescent="0.2">
      <c r="A114" s="73" t="str">
        <f t="shared" si="13"/>
        <v>LED--FT-1L-150W</v>
      </c>
      <c r="B114" s="73" t="s">
        <v>372</v>
      </c>
      <c r="C114" s="72" t="s">
        <v>331</v>
      </c>
      <c r="D114" s="72"/>
      <c r="E114" s="72"/>
      <c r="F114" s="72">
        <v>1</v>
      </c>
      <c r="G114" s="72">
        <v>150</v>
      </c>
      <c r="H114" s="72">
        <v>11850</v>
      </c>
      <c r="I114" s="72">
        <v>50000</v>
      </c>
      <c r="J114" s="72">
        <v>165</v>
      </c>
      <c r="K114" s="72">
        <v>165</v>
      </c>
      <c r="L114" s="72">
        <v>1</v>
      </c>
      <c r="M114" s="72">
        <v>50000</v>
      </c>
      <c r="N114" s="72">
        <f t="shared" si="11"/>
        <v>1</v>
      </c>
      <c r="O114" s="72">
        <v>267</v>
      </c>
      <c r="P114" s="110">
        <v>434</v>
      </c>
      <c r="Q114" s="110">
        <v>156</v>
      </c>
      <c r="R114" s="105">
        <v>7.0000000000000007E-2</v>
      </c>
      <c r="S114" s="113" t="s">
        <v>373</v>
      </c>
    </row>
  </sheetData>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H12" sqref="H12"/>
    </sheetView>
  </sheetViews>
  <sheetFormatPr defaultRowHeight="12.75" x14ac:dyDescent="0.2"/>
  <cols>
    <col min="1" max="1" width="27.33203125" style="130" bestFit="1" customWidth="1"/>
    <col min="2" max="2" width="27.6640625" bestFit="1" customWidth="1"/>
    <col min="3" max="3" width="32.1640625" bestFit="1" customWidth="1"/>
    <col min="4" max="4" width="24" bestFit="1" customWidth="1"/>
  </cols>
  <sheetData>
    <row r="1" spans="1:4" s="130" customFormat="1" x14ac:dyDescent="0.2"/>
    <row r="2" spans="1:4" s="130" customFormat="1" ht="15.75" x14ac:dyDescent="0.2">
      <c r="A2" s="264" t="s">
        <v>481</v>
      </c>
      <c r="B2" s="264"/>
      <c r="C2" s="264"/>
      <c r="D2" s="264"/>
    </row>
    <row r="3" spans="1:4" ht="15" x14ac:dyDescent="0.2">
      <c r="A3" s="177"/>
      <c r="B3" s="179" t="s">
        <v>482</v>
      </c>
      <c r="C3" s="179" t="s">
        <v>483</v>
      </c>
      <c r="D3" s="179" t="s">
        <v>478</v>
      </c>
    </row>
    <row r="4" spans="1:4" ht="15.75" x14ac:dyDescent="0.2">
      <c r="A4" s="131" t="s">
        <v>470</v>
      </c>
      <c r="B4" s="178">
        <v>17</v>
      </c>
      <c r="C4" s="178">
        <v>10</v>
      </c>
      <c r="D4" s="180">
        <f>C4/B4</f>
        <v>0.58823529411764708</v>
      </c>
    </row>
    <row r="5" spans="1:4" ht="15.75" x14ac:dyDescent="0.2">
      <c r="A5" s="131" t="s">
        <v>471</v>
      </c>
      <c r="B5" s="178">
        <v>20</v>
      </c>
      <c r="C5" s="178">
        <v>12</v>
      </c>
      <c r="D5" s="180">
        <f t="shared" ref="D5:D15" si="0">C5/B5</f>
        <v>0.6</v>
      </c>
    </row>
    <row r="6" spans="1:4" ht="15.75" x14ac:dyDescent="0.2">
      <c r="A6" s="131" t="s">
        <v>472</v>
      </c>
      <c r="B6" s="178">
        <v>25</v>
      </c>
      <c r="C6" s="178">
        <v>17</v>
      </c>
      <c r="D6" s="180">
        <f t="shared" si="0"/>
        <v>0.68</v>
      </c>
    </row>
    <row r="7" spans="1:4" ht="15.75" x14ac:dyDescent="0.2">
      <c r="A7" s="131" t="s">
        <v>473</v>
      </c>
      <c r="B7" s="178">
        <v>60</v>
      </c>
      <c r="C7" s="178">
        <v>45</v>
      </c>
      <c r="D7" s="180">
        <f t="shared" si="0"/>
        <v>0.75</v>
      </c>
    </row>
    <row r="8" spans="1:4" ht="15.75" x14ac:dyDescent="0.2">
      <c r="A8" s="131" t="s">
        <v>474</v>
      </c>
      <c r="B8" s="178">
        <v>62</v>
      </c>
      <c r="C8" s="178">
        <v>31</v>
      </c>
      <c r="D8" s="180">
        <f t="shared" si="0"/>
        <v>0.5</v>
      </c>
    </row>
    <row r="9" spans="1:4" ht="15.75" x14ac:dyDescent="0.2">
      <c r="A9" s="131" t="s">
        <v>475</v>
      </c>
      <c r="B9" s="178">
        <v>70</v>
      </c>
      <c r="C9" s="178">
        <v>40</v>
      </c>
      <c r="D9" s="180">
        <f t="shared" si="0"/>
        <v>0.5714285714285714</v>
      </c>
    </row>
    <row r="10" spans="1:4" ht="15.75" x14ac:dyDescent="0.2">
      <c r="A10" s="131" t="s">
        <v>480</v>
      </c>
      <c r="B10" s="178">
        <v>74</v>
      </c>
      <c r="C10" s="178">
        <v>58</v>
      </c>
      <c r="D10" s="180">
        <f t="shared" si="0"/>
        <v>0.78378378378378377</v>
      </c>
    </row>
    <row r="11" spans="1:4" ht="15.75" x14ac:dyDescent="0.2">
      <c r="A11" s="131" t="s">
        <v>270</v>
      </c>
      <c r="B11" s="178">
        <v>91</v>
      </c>
      <c r="C11" s="178">
        <v>50</v>
      </c>
      <c r="D11" s="180">
        <f t="shared" si="0"/>
        <v>0.5494505494505495</v>
      </c>
    </row>
    <row r="12" spans="1:4" s="130" customFormat="1" ht="15.75" x14ac:dyDescent="0.2">
      <c r="A12" s="131" t="s">
        <v>477</v>
      </c>
      <c r="B12" s="178">
        <v>120</v>
      </c>
      <c r="C12" s="178">
        <v>65</v>
      </c>
      <c r="D12" s="180">
        <f t="shared" si="0"/>
        <v>0.54166666666666663</v>
      </c>
    </row>
    <row r="13" spans="1:4" ht="15.75" x14ac:dyDescent="0.2">
      <c r="A13" s="131" t="s">
        <v>476</v>
      </c>
      <c r="B13" s="178">
        <v>100</v>
      </c>
      <c r="C13" s="178">
        <v>80</v>
      </c>
      <c r="D13" s="180">
        <f t="shared" si="0"/>
        <v>0.8</v>
      </c>
    </row>
    <row r="14" spans="1:4" ht="15.75" x14ac:dyDescent="0.2">
      <c r="A14" s="131" t="s">
        <v>331</v>
      </c>
      <c r="B14" s="178">
        <v>105</v>
      </c>
      <c r="C14" s="178">
        <v>85</v>
      </c>
      <c r="D14" s="180">
        <f t="shared" si="0"/>
        <v>0.80952380952380953</v>
      </c>
    </row>
    <row r="15" spans="1:4" ht="15.75" x14ac:dyDescent="0.2">
      <c r="A15" s="131" t="s">
        <v>479</v>
      </c>
      <c r="B15" s="178">
        <v>150</v>
      </c>
      <c r="C15" s="178">
        <v>120</v>
      </c>
      <c r="D15" s="180">
        <f t="shared" si="0"/>
        <v>0.8</v>
      </c>
    </row>
    <row r="17" spans="1:1" ht="15.75" x14ac:dyDescent="0.2">
      <c r="A17" s="131" t="s">
        <v>484</v>
      </c>
    </row>
  </sheetData>
  <sheetProtection algorithmName="SHA-512" hashValue="56HffdkwJ9D/tDCauP1JeQHvt5YYe86wr+INs7yAOV19pKp/wkgMAJ6a9D1lK0UzHZlGyYPG7w04jP8dN0/kAA==" saltValue="cX/HCNyizCKMZWVd7BPI1g==" spinCount="100000" sheet="1" objects="1" scenarios="1"/>
  <mergeCells count="1">
    <mergeCell ref="A2:D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Report Data Export</vt:lpstr>
      <vt:lpstr>Narrative</vt:lpstr>
      <vt:lpstr>Calculation</vt:lpstr>
      <vt:lpstr>Summary</vt:lpstr>
      <vt:lpstr>(1)</vt:lpstr>
      <vt:lpstr>Equation Sheet</vt:lpstr>
      <vt:lpstr>Fixture Data</vt:lpstr>
      <vt:lpstr>OF &amp; Luminous Efficiency Charts</vt:lpstr>
      <vt:lpstr>'(1)'!Print_Area</vt:lpstr>
      <vt:lpstr>Calculation!Print_Area</vt:lpstr>
      <vt:lpstr>'Equation Sheet'!Print_Area</vt:lpstr>
      <vt:lpstr>Narrative!Print_Area</vt:lpstr>
      <vt:lpstr>Summary!Print_Area</vt:lpstr>
      <vt:lpstr>'(1)'!Print_Titles</vt:lpstr>
      <vt:lpstr>Calculation!Print_Titles</vt:lpstr>
      <vt:lpstr>Narrative!Print_Titles</vt:lpstr>
      <vt:lpstr>Summary!Print_Titles</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Mikhail Jones</dc:creator>
  <cp:lastModifiedBy>Mutch, Joshua</cp:lastModifiedBy>
  <cp:lastPrinted>2014-04-08T21:25:14Z</cp:lastPrinted>
  <dcterms:created xsi:type="dcterms:W3CDTF">2011-03-11T22:25:13Z</dcterms:created>
  <dcterms:modified xsi:type="dcterms:W3CDTF">2015-06-12T02:00:38Z</dcterms:modified>
</cp:coreProperties>
</file>