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mbeddings/oleObject3.bin" ContentType="application/vnd.openxmlformats-officedocument.oleObject"/>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020" windowHeight="10110" tabRatio="793"/>
  </bookViews>
  <sheets>
    <sheet name="Narrative1" sheetId="17" r:id="rId1"/>
    <sheet name="Narrative2" sheetId="19" r:id="rId2"/>
    <sheet name="Calc1" sheetId="16" r:id="rId3"/>
    <sheet name="Calc2" sheetId="15" r:id="rId4"/>
    <sheet name="Boiler1" sheetId="5" r:id="rId5"/>
    <sheet name="Boiler2" sheetId="20" r:id="rId6"/>
    <sheet name="Boiler3" sheetId="21" r:id="rId7"/>
    <sheet name="Boiler4" sheetId="22" r:id="rId8"/>
    <sheet name="Boiler5" sheetId="23" r:id="rId9"/>
    <sheet name="Boiler6" sheetId="24" r:id="rId10"/>
    <sheet name="Boiler7" sheetId="25" r:id="rId11"/>
    <sheet name="Boiler8" sheetId="26" r:id="rId12"/>
    <sheet name="Fuel Properties" sheetId="4" r:id="rId13"/>
    <sheet name="Steam Properties" sheetId="18" r:id="rId14"/>
  </sheets>
  <definedNames>
    <definedName name="_xlnm.Print_Area" localSheetId="4">Boiler1!$A$1:$K$84</definedName>
    <definedName name="_xlnm.Print_Area" localSheetId="5">Boiler2!$A$1:$K$84</definedName>
    <definedName name="_xlnm.Print_Area" localSheetId="6">Boiler3!$A$1:$K$84</definedName>
    <definedName name="_xlnm.Print_Area" localSheetId="7">Boiler4!$A$1:$K$84</definedName>
    <definedName name="_xlnm.Print_Area" localSheetId="8">Boiler5!$A$1:$K$84</definedName>
    <definedName name="_xlnm.Print_Area" localSheetId="9">Boiler6!$A$1:$K$84</definedName>
    <definedName name="_xlnm.Print_Area" localSheetId="10">Boiler7!$A$1:$K$84</definedName>
    <definedName name="_xlnm.Print_Area" localSheetId="11">Boiler8!$A$1:$K$84</definedName>
    <definedName name="_xlnm.Print_Area" localSheetId="2">Calc1!$A$1:$J$42</definedName>
    <definedName name="_xlnm.Print_Area" localSheetId="3">Calc2!$A$1:$L$42</definedName>
    <definedName name="_xlnm.Print_Area" localSheetId="0">Narrative1!$A$1:$X$43</definedName>
    <definedName name="_xlnm.Print_Area" localSheetId="1">Narrative2!$A$1:$X$43</definedName>
  </definedNames>
  <calcPr calcId="125725" iterate="1"/>
</workbook>
</file>

<file path=xl/calcChain.xml><?xml version="1.0" encoding="utf-8"?>
<calcChain xmlns="http://schemas.openxmlformats.org/spreadsheetml/2006/main">
  <c r="B13" i="15"/>
  <c r="B12"/>
  <c r="B11"/>
  <c r="B10"/>
  <c r="B9"/>
  <c r="B8"/>
  <c r="B7"/>
  <c r="B6"/>
  <c r="I15" i="22"/>
  <c r="I15" i="23"/>
  <c r="I24" i="22"/>
  <c r="I19"/>
  <c r="I24" i="21"/>
  <c r="I19"/>
  <c r="I24" i="20"/>
  <c r="I19"/>
  <c r="F70" i="5"/>
  <c r="I24"/>
  <c r="I19"/>
  <c r="D27" i="15"/>
  <c r="D40"/>
  <c r="E27"/>
  <c r="E40"/>
  <c r="F27"/>
  <c r="F40"/>
  <c r="D26"/>
  <c r="D39"/>
  <c r="E26"/>
  <c r="E39"/>
  <c r="F26"/>
  <c r="F39"/>
  <c r="D25"/>
  <c r="D38"/>
  <c r="E25"/>
  <c r="E38"/>
  <c r="F25"/>
  <c r="F38"/>
  <c r="D24"/>
  <c r="D37"/>
  <c r="E24"/>
  <c r="E37"/>
  <c r="F24"/>
  <c r="F37"/>
  <c r="C27"/>
  <c r="C40"/>
  <c r="C26"/>
  <c r="C39"/>
  <c r="C25"/>
  <c r="C38"/>
  <c r="C24"/>
  <c r="C37"/>
  <c r="K10"/>
  <c r="B37"/>
  <c r="B24"/>
  <c r="K13"/>
  <c r="K12"/>
  <c r="K11"/>
  <c r="F72" i="26"/>
  <c r="F13" i="15"/>
  <c r="E72" i="26"/>
  <c r="E13" i="15"/>
  <c r="D72" i="26"/>
  <c r="D13" i="15"/>
  <c r="C72" i="26"/>
  <c r="C13" i="15"/>
  <c r="F71" i="26"/>
  <c r="F70"/>
  <c r="E70"/>
  <c r="D70"/>
  <c r="C70"/>
  <c r="F69"/>
  <c r="E69"/>
  <c r="D69"/>
  <c r="C69"/>
  <c r="F68"/>
  <c r="E68"/>
  <c r="D68"/>
  <c r="C68"/>
  <c r="F67"/>
  <c r="E67"/>
  <c r="D67"/>
  <c r="C67"/>
  <c r="F66"/>
  <c r="E66"/>
  <c r="D66"/>
  <c r="C66"/>
  <c r="F65"/>
  <c r="E65"/>
  <c r="D65"/>
  <c r="C65"/>
  <c r="F64"/>
  <c r="E64"/>
  <c r="D64"/>
  <c r="C64"/>
  <c r="F63"/>
  <c r="E63"/>
  <c r="D63"/>
  <c r="C63"/>
  <c r="F61"/>
  <c r="E61"/>
  <c r="D61"/>
  <c r="C61"/>
  <c r="F60"/>
  <c r="E60"/>
  <c r="D60"/>
  <c r="C60"/>
  <c r="F58"/>
  <c r="E58"/>
  <c r="D58"/>
  <c r="C58"/>
  <c r="J54"/>
  <c r="I54"/>
  <c r="H54"/>
  <c r="G54"/>
  <c r="F52"/>
  <c r="E52"/>
  <c r="D52"/>
  <c r="C52"/>
  <c r="J51"/>
  <c r="J72"/>
  <c r="J13" i="15"/>
  <c r="I51" i="26"/>
  <c r="I72"/>
  <c r="I13" i="15"/>
  <c r="H51" i="26"/>
  <c r="H72"/>
  <c r="H13" i="15"/>
  <c r="G51" i="26"/>
  <c r="G72"/>
  <c r="G13" i="15"/>
  <c r="J50" i="26"/>
  <c r="I50"/>
  <c r="H50"/>
  <c r="G50"/>
  <c r="F50"/>
  <c r="E50"/>
  <c r="D50"/>
  <c r="C50"/>
  <c r="J49"/>
  <c r="I49"/>
  <c r="H49"/>
  <c r="G49"/>
  <c r="D35"/>
  <c r="I34"/>
  <c r="D34"/>
  <c r="I33"/>
  <c r="D33"/>
  <c r="I32"/>
  <c r="D32"/>
  <c r="I31"/>
  <c r="D31"/>
  <c r="I30"/>
  <c r="D30"/>
  <c r="I26"/>
  <c r="D26"/>
  <c r="I25"/>
  <c r="D25"/>
  <c r="I24"/>
  <c r="I21"/>
  <c r="D21"/>
  <c r="I20"/>
  <c r="D20"/>
  <c r="I19"/>
  <c r="D16"/>
  <c r="I15"/>
  <c r="D38"/>
  <c r="I11"/>
  <c r="I5"/>
  <c r="F72" i="25"/>
  <c r="F12" i="15"/>
  <c r="E72" i="25"/>
  <c r="E12" i="15"/>
  <c r="D72" i="25"/>
  <c r="D12" i="15"/>
  <c r="C72" i="25"/>
  <c r="C12" i="15"/>
  <c r="F71" i="25"/>
  <c r="F70"/>
  <c r="E70"/>
  <c r="D70"/>
  <c r="C70"/>
  <c r="F69"/>
  <c r="E69"/>
  <c r="D69"/>
  <c r="C69"/>
  <c r="F68"/>
  <c r="E68"/>
  <c r="D68"/>
  <c r="C68"/>
  <c r="F67"/>
  <c r="E67"/>
  <c r="D67"/>
  <c r="C67"/>
  <c r="F66"/>
  <c r="E66"/>
  <c r="D66"/>
  <c r="C66"/>
  <c r="F65"/>
  <c r="E65"/>
  <c r="D65"/>
  <c r="C65"/>
  <c r="F64"/>
  <c r="E64"/>
  <c r="D64"/>
  <c r="C64"/>
  <c r="F63"/>
  <c r="E63"/>
  <c r="D63"/>
  <c r="C63"/>
  <c r="F61"/>
  <c r="E61"/>
  <c r="D61"/>
  <c r="C61"/>
  <c r="F60"/>
  <c r="E60"/>
  <c r="D60"/>
  <c r="C60"/>
  <c r="F58"/>
  <c r="E58"/>
  <c r="D58"/>
  <c r="C58"/>
  <c r="J54"/>
  <c r="I54"/>
  <c r="H54"/>
  <c r="G54"/>
  <c r="F52"/>
  <c r="E52"/>
  <c r="D52"/>
  <c r="C52"/>
  <c r="J51"/>
  <c r="J72"/>
  <c r="J12" i="15"/>
  <c r="I51" i="25"/>
  <c r="I72"/>
  <c r="I12" i="15"/>
  <c r="H51" i="25"/>
  <c r="H72"/>
  <c r="H12" i="15"/>
  <c r="G51" i="25"/>
  <c r="G72"/>
  <c r="G12" i="15"/>
  <c r="J50" i="25"/>
  <c r="I50"/>
  <c r="H50"/>
  <c r="G50"/>
  <c r="F50"/>
  <c r="E50"/>
  <c r="D50"/>
  <c r="C50"/>
  <c r="J49"/>
  <c r="I49"/>
  <c r="H49"/>
  <c r="G49"/>
  <c r="D35"/>
  <c r="I34"/>
  <c r="D34"/>
  <c r="I33"/>
  <c r="D33"/>
  <c r="I32"/>
  <c r="D32"/>
  <c r="I31"/>
  <c r="D31"/>
  <c r="I30"/>
  <c r="D30"/>
  <c r="I26"/>
  <c r="D26"/>
  <c r="I25"/>
  <c r="D25"/>
  <c r="I24"/>
  <c r="I21"/>
  <c r="D21"/>
  <c r="I20"/>
  <c r="D20"/>
  <c r="I19"/>
  <c r="D16"/>
  <c r="I15"/>
  <c r="D38"/>
  <c r="I11"/>
  <c r="I5"/>
  <c r="F72" i="24"/>
  <c r="F11" i="15"/>
  <c r="E72" i="24"/>
  <c r="E11" i="15"/>
  <c r="D72" i="24"/>
  <c r="D11" i="15"/>
  <c r="C72" i="24"/>
  <c r="C11" i="15"/>
  <c r="F71" i="24"/>
  <c r="F70"/>
  <c r="E70"/>
  <c r="D70"/>
  <c r="C70"/>
  <c r="F69"/>
  <c r="E69"/>
  <c r="D69"/>
  <c r="C69"/>
  <c r="F68"/>
  <c r="E68"/>
  <c r="D68"/>
  <c r="C68"/>
  <c r="F67"/>
  <c r="E67"/>
  <c r="D67"/>
  <c r="C67"/>
  <c r="F66"/>
  <c r="E66"/>
  <c r="D66"/>
  <c r="C66"/>
  <c r="F65"/>
  <c r="E65"/>
  <c r="D65"/>
  <c r="C65"/>
  <c r="F64"/>
  <c r="E64"/>
  <c r="D64"/>
  <c r="C64"/>
  <c r="F63"/>
  <c r="E63"/>
  <c r="D63"/>
  <c r="C63"/>
  <c r="F61"/>
  <c r="E61"/>
  <c r="D61"/>
  <c r="C61"/>
  <c r="F60"/>
  <c r="E60"/>
  <c r="D60"/>
  <c r="C60"/>
  <c r="F58"/>
  <c r="E58"/>
  <c r="D58"/>
  <c r="C58"/>
  <c r="J54"/>
  <c r="I54"/>
  <c r="H54"/>
  <c r="G54"/>
  <c r="F52"/>
  <c r="E52"/>
  <c r="D52"/>
  <c r="C52"/>
  <c r="J51"/>
  <c r="J72"/>
  <c r="J11" i="15"/>
  <c r="I51" i="24"/>
  <c r="I72"/>
  <c r="I11" i="15"/>
  <c r="H51" i="24"/>
  <c r="H72"/>
  <c r="H11" i="15"/>
  <c r="G51" i="24"/>
  <c r="G72"/>
  <c r="G11" i="15"/>
  <c r="J50" i="24"/>
  <c r="I50"/>
  <c r="H50"/>
  <c r="G50"/>
  <c r="F50"/>
  <c r="E50"/>
  <c r="D50"/>
  <c r="C50"/>
  <c r="J49"/>
  <c r="I49"/>
  <c r="H49"/>
  <c r="G49"/>
  <c r="D35"/>
  <c r="I34"/>
  <c r="D34"/>
  <c r="I33"/>
  <c r="D33"/>
  <c r="I32"/>
  <c r="D32"/>
  <c r="I31"/>
  <c r="D31"/>
  <c r="I30"/>
  <c r="D30"/>
  <c r="I26"/>
  <c r="D26"/>
  <c r="I25"/>
  <c r="D25"/>
  <c r="I24"/>
  <c r="I21"/>
  <c r="D21"/>
  <c r="I20"/>
  <c r="D20"/>
  <c r="I19"/>
  <c r="D16"/>
  <c r="I15"/>
  <c r="D38"/>
  <c r="I11"/>
  <c r="I5"/>
  <c r="I19" i="23"/>
  <c r="I24"/>
  <c r="F72"/>
  <c r="F10" i="15"/>
  <c r="E72" i="23"/>
  <c r="E10" i="15"/>
  <c r="D72" i="23"/>
  <c r="D10" i="15"/>
  <c r="F71" i="23"/>
  <c r="F70"/>
  <c r="E70"/>
  <c r="D70"/>
  <c r="C70"/>
  <c r="F69"/>
  <c r="E69"/>
  <c r="D69"/>
  <c r="F68"/>
  <c r="E68"/>
  <c r="D68"/>
  <c r="F67"/>
  <c r="E67"/>
  <c r="D67"/>
  <c r="F66"/>
  <c r="E66"/>
  <c r="D66"/>
  <c r="F65"/>
  <c r="E65"/>
  <c r="D65"/>
  <c r="F64"/>
  <c r="E64"/>
  <c r="D64"/>
  <c r="F63"/>
  <c r="E63"/>
  <c r="D63"/>
  <c r="F61"/>
  <c r="E61"/>
  <c r="D61"/>
  <c r="F60"/>
  <c r="E60"/>
  <c r="D60"/>
  <c r="F58"/>
  <c r="E58"/>
  <c r="D58"/>
  <c r="C58"/>
  <c r="J54"/>
  <c r="I54"/>
  <c r="H54"/>
  <c r="F52"/>
  <c r="E52"/>
  <c r="D52"/>
  <c r="J51"/>
  <c r="J72"/>
  <c r="J10" i="15"/>
  <c r="I51" i="23"/>
  <c r="I72"/>
  <c r="I10" i="15"/>
  <c r="H51" i="23"/>
  <c r="H72"/>
  <c r="H10" i="15"/>
  <c r="G51" i="23"/>
  <c r="J50"/>
  <c r="I50"/>
  <c r="H50"/>
  <c r="F50"/>
  <c r="E50"/>
  <c r="D50"/>
  <c r="C50"/>
  <c r="C60"/>
  <c r="C61"/>
  <c r="C68"/>
  <c r="J49"/>
  <c r="I49"/>
  <c r="H49"/>
  <c r="G49"/>
  <c r="D35"/>
  <c r="I34"/>
  <c r="G54"/>
  <c r="D34"/>
  <c r="I33"/>
  <c r="D33"/>
  <c r="C65"/>
  <c r="I32"/>
  <c r="C67"/>
  <c r="D32"/>
  <c r="I31"/>
  <c r="D31"/>
  <c r="C64"/>
  <c r="I30"/>
  <c r="D30"/>
  <c r="C66"/>
  <c r="I26"/>
  <c r="D26"/>
  <c r="I25"/>
  <c r="D25"/>
  <c r="I21"/>
  <c r="D21"/>
  <c r="I20"/>
  <c r="D20"/>
  <c r="D16"/>
  <c r="D38"/>
  <c r="I11"/>
  <c r="I5"/>
  <c r="B36" i="15"/>
  <c r="B33"/>
  <c r="B20"/>
  <c r="B34"/>
  <c r="F72" i="22"/>
  <c r="F9" i="15"/>
  <c r="E72" i="22"/>
  <c r="E9" i="15"/>
  <c r="D72" i="22"/>
  <c r="D9" i="15"/>
  <c r="F71" i="22"/>
  <c r="F70"/>
  <c r="E70"/>
  <c r="D70"/>
  <c r="C70"/>
  <c r="F69"/>
  <c r="E69"/>
  <c r="D69"/>
  <c r="F68"/>
  <c r="E68"/>
  <c r="D68"/>
  <c r="F67"/>
  <c r="E67"/>
  <c r="D67"/>
  <c r="F66"/>
  <c r="E66"/>
  <c r="D66"/>
  <c r="F65"/>
  <c r="E65"/>
  <c r="D65"/>
  <c r="F64"/>
  <c r="E64"/>
  <c r="D64"/>
  <c r="F63"/>
  <c r="E63"/>
  <c r="D63"/>
  <c r="F61"/>
  <c r="E61"/>
  <c r="D61"/>
  <c r="F60"/>
  <c r="E60"/>
  <c r="D60"/>
  <c r="F58"/>
  <c r="E58"/>
  <c r="D58"/>
  <c r="C58"/>
  <c r="J54"/>
  <c r="I54"/>
  <c r="H54"/>
  <c r="F52"/>
  <c r="F23" i="15" s="1"/>
  <c r="F36" s="1"/>
  <c r="E52" i="22"/>
  <c r="E23" i="15" s="1"/>
  <c r="E36" s="1"/>
  <c r="D52" i="22"/>
  <c r="D23" i="15" s="1"/>
  <c r="D36" s="1"/>
  <c r="J51" i="22"/>
  <c r="J72"/>
  <c r="J9" i="15"/>
  <c r="I51" i="22"/>
  <c r="I72"/>
  <c r="I9" i="15"/>
  <c r="H51" i="22"/>
  <c r="H72"/>
  <c r="H9" i="15"/>
  <c r="G51" i="22"/>
  <c r="J50"/>
  <c r="I50"/>
  <c r="H50"/>
  <c r="F50"/>
  <c r="E50"/>
  <c r="D50"/>
  <c r="C50"/>
  <c r="J49"/>
  <c r="I49"/>
  <c r="H49"/>
  <c r="G49"/>
  <c r="D35"/>
  <c r="I34"/>
  <c r="G54"/>
  <c r="D34"/>
  <c r="I33"/>
  <c r="D33"/>
  <c r="C60" s="1"/>
  <c r="C65"/>
  <c r="I32"/>
  <c r="C67"/>
  <c r="D32"/>
  <c r="I31"/>
  <c r="D31"/>
  <c r="C64"/>
  <c r="I30"/>
  <c r="D30"/>
  <c r="C66"/>
  <c r="I26"/>
  <c r="D26"/>
  <c r="I25"/>
  <c r="D25"/>
  <c r="I21"/>
  <c r="D21"/>
  <c r="I20"/>
  <c r="D20"/>
  <c r="D16"/>
  <c r="D38"/>
  <c r="I11"/>
  <c r="I5"/>
  <c r="F72" i="21"/>
  <c r="F8" i="15"/>
  <c r="E72" i="21"/>
  <c r="E8" i="15"/>
  <c r="D72" i="21"/>
  <c r="D8" i="15"/>
  <c r="F71" i="21"/>
  <c r="F70"/>
  <c r="E70"/>
  <c r="D70"/>
  <c r="C70"/>
  <c r="F69"/>
  <c r="E69"/>
  <c r="D69"/>
  <c r="F68"/>
  <c r="E68"/>
  <c r="D68"/>
  <c r="F67"/>
  <c r="E67"/>
  <c r="D67"/>
  <c r="F66"/>
  <c r="E66"/>
  <c r="D66"/>
  <c r="F65"/>
  <c r="E65"/>
  <c r="D65"/>
  <c r="F64"/>
  <c r="E64"/>
  <c r="D64"/>
  <c r="F63"/>
  <c r="E63"/>
  <c r="D63"/>
  <c r="F61"/>
  <c r="E61"/>
  <c r="D61"/>
  <c r="F60"/>
  <c r="E60"/>
  <c r="D60"/>
  <c r="F58"/>
  <c r="E58"/>
  <c r="D58"/>
  <c r="C58"/>
  <c r="J54"/>
  <c r="I54"/>
  <c r="H54"/>
  <c r="F52"/>
  <c r="F22" i="15" s="1"/>
  <c r="F35" s="1"/>
  <c r="E52" i="21"/>
  <c r="E22" i="15" s="1"/>
  <c r="E35" s="1"/>
  <c r="D52" i="21"/>
  <c r="D22" i="15" s="1"/>
  <c r="D35" s="1"/>
  <c r="J51" i="21"/>
  <c r="J72"/>
  <c r="J8" i="15"/>
  <c r="I51" i="21"/>
  <c r="I72"/>
  <c r="I8" i="15"/>
  <c r="H51" i="21"/>
  <c r="H72"/>
  <c r="H8" i="15"/>
  <c r="G51" i="21"/>
  <c r="J50"/>
  <c r="I50"/>
  <c r="H50"/>
  <c r="F50"/>
  <c r="E50"/>
  <c r="D50"/>
  <c r="C50"/>
  <c r="J49"/>
  <c r="I49"/>
  <c r="H49"/>
  <c r="G49"/>
  <c r="D35"/>
  <c r="I34"/>
  <c r="G54"/>
  <c r="D34"/>
  <c r="I33"/>
  <c r="D33"/>
  <c r="C65"/>
  <c r="I32"/>
  <c r="C67"/>
  <c r="D32"/>
  <c r="I31"/>
  <c r="D31"/>
  <c r="C64"/>
  <c r="I30"/>
  <c r="D30"/>
  <c r="C66"/>
  <c r="I26"/>
  <c r="D26"/>
  <c r="I25"/>
  <c r="D25"/>
  <c r="I21"/>
  <c r="D21"/>
  <c r="I20"/>
  <c r="D20"/>
  <c r="D16"/>
  <c r="I15"/>
  <c r="D38"/>
  <c r="I11"/>
  <c r="I5"/>
  <c r="F72" i="20"/>
  <c r="F7" i="15"/>
  <c r="E72" i="20"/>
  <c r="E7" i="15"/>
  <c r="D72" i="20"/>
  <c r="D7" i="15"/>
  <c r="F71" i="20"/>
  <c r="F70"/>
  <c r="E70"/>
  <c r="D70"/>
  <c r="C70"/>
  <c r="F69"/>
  <c r="E69"/>
  <c r="D69"/>
  <c r="F68"/>
  <c r="E68"/>
  <c r="D68"/>
  <c r="F67"/>
  <c r="E67"/>
  <c r="D67"/>
  <c r="F66"/>
  <c r="E66"/>
  <c r="D66"/>
  <c r="F65"/>
  <c r="E65"/>
  <c r="D65"/>
  <c r="F64"/>
  <c r="E64"/>
  <c r="D64"/>
  <c r="F63"/>
  <c r="E63"/>
  <c r="D63"/>
  <c r="F61"/>
  <c r="E61"/>
  <c r="D61"/>
  <c r="F60"/>
  <c r="E60"/>
  <c r="D60"/>
  <c r="F58"/>
  <c r="E58"/>
  <c r="D58"/>
  <c r="C58"/>
  <c r="J54"/>
  <c r="I54"/>
  <c r="H54"/>
  <c r="F52"/>
  <c r="F21" i="15" s="1"/>
  <c r="F34" s="1"/>
  <c r="E52" i="20"/>
  <c r="E21" i="15" s="1"/>
  <c r="E34" s="1"/>
  <c r="D52" i="20"/>
  <c r="D21" i="15" s="1"/>
  <c r="D34" s="1"/>
  <c r="J51" i="20"/>
  <c r="J72"/>
  <c r="J7" i="15"/>
  <c r="I51" i="20"/>
  <c r="I72"/>
  <c r="I7" i="15"/>
  <c r="H51" i="20"/>
  <c r="H72"/>
  <c r="H7" i="15"/>
  <c r="G51" i="20"/>
  <c r="J50"/>
  <c r="I50"/>
  <c r="H50"/>
  <c r="F50"/>
  <c r="E50"/>
  <c r="D50"/>
  <c r="C50"/>
  <c r="J49"/>
  <c r="I49"/>
  <c r="H49"/>
  <c r="G49"/>
  <c r="D35"/>
  <c r="I34"/>
  <c r="G54"/>
  <c r="D34"/>
  <c r="I33"/>
  <c r="D33"/>
  <c r="C65"/>
  <c r="I32"/>
  <c r="C67"/>
  <c r="D32"/>
  <c r="I31"/>
  <c r="D31"/>
  <c r="C64"/>
  <c r="I30"/>
  <c r="D30"/>
  <c r="C66"/>
  <c r="I26"/>
  <c r="D26"/>
  <c r="I25"/>
  <c r="D25"/>
  <c r="I21"/>
  <c r="D21"/>
  <c r="I20"/>
  <c r="D20"/>
  <c r="D16"/>
  <c r="I15"/>
  <c r="D38"/>
  <c r="I11"/>
  <c r="I5"/>
  <c r="I15" i="5"/>
  <c r="E50"/>
  <c r="E52"/>
  <c r="F50"/>
  <c r="F52" s="1"/>
  <c r="C50"/>
  <c r="C52"/>
  <c r="C20" i="15"/>
  <c r="C33"/>
  <c r="D50" i="5"/>
  <c r="D52"/>
  <c r="B27" i="15"/>
  <c r="B40"/>
  <c r="I39" i="26"/>
  <c r="D39"/>
  <c r="I38"/>
  <c r="D6"/>
  <c r="G52"/>
  <c r="G27" i="15"/>
  <c r="H52" i="26"/>
  <c r="H27" i="15"/>
  <c r="H40"/>
  <c r="I52" i="26"/>
  <c r="I27" i="15"/>
  <c r="I40"/>
  <c r="J52" i="26"/>
  <c r="J27" i="15"/>
  <c r="J40"/>
  <c r="G55" i="26"/>
  <c r="H55"/>
  <c r="I55"/>
  <c r="J55"/>
  <c r="G56"/>
  <c r="H56"/>
  <c r="I56"/>
  <c r="J56"/>
  <c r="G57"/>
  <c r="H57"/>
  <c r="I57"/>
  <c r="J57"/>
  <c r="G58"/>
  <c r="H58"/>
  <c r="I58"/>
  <c r="J58"/>
  <c r="G60"/>
  <c r="H60"/>
  <c r="I60"/>
  <c r="J60"/>
  <c r="G61"/>
  <c r="H61"/>
  <c r="I61"/>
  <c r="J61"/>
  <c r="G63"/>
  <c r="H63"/>
  <c r="I63"/>
  <c r="J63"/>
  <c r="G64"/>
  <c r="H64"/>
  <c r="I64"/>
  <c r="J64"/>
  <c r="G65"/>
  <c r="H65"/>
  <c r="I65"/>
  <c r="J65"/>
  <c r="G66"/>
  <c r="H66"/>
  <c r="I66"/>
  <c r="J66"/>
  <c r="G67"/>
  <c r="H67"/>
  <c r="I67"/>
  <c r="J67"/>
  <c r="G68"/>
  <c r="H68"/>
  <c r="I68"/>
  <c r="J68"/>
  <c r="G69"/>
  <c r="H69"/>
  <c r="I69"/>
  <c r="J69"/>
  <c r="G70"/>
  <c r="H70"/>
  <c r="I70"/>
  <c r="J70"/>
  <c r="J71"/>
  <c r="I39" i="25"/>
  <c r="D39"/>
  <c r="I38"/>
  <c r="D6"/>
  <c r="G52"/>
  <c r="G26" i="15"/>
  <c r="H52" i="25"/>
  <c r="H26" i="15"/>
  <c r="H39"/>
  <c r="I52" i="25"/>
  <c r="I26" i="15"/>
  <c r="I39"/>
  <c r="J52" i="25"/>
  <c r="J26" i="15"/>
  <c r="J39"/>
  <c r="G55" i="25"/>
  <c r="H55"/>
  <c r="I55"/>
  <c r="J55"/>
  <c r="G56"/>
  <c r="H56"/>
  <c r="I56"/>
  <c r="J56"/>
  <c r="G57"/>
  <c r="H57"/>
  <c r="I57"/>
  <c r="J57"/>
  <c r="G58"/>
  <c r="H58"/>
  <c r="I58"/>
  <c r="J58"/>
  <c r="G60"/>
  <c r="H60"/>
  <c r="I60"/>
  <c r="J60"/>
  <c r="G61"/>
  <c r="H61"/>
  <c r="I61"/>
  <c r="J61"/>
  <c r="G63"/>
  <c r="H63"/>
  <c r="I63"/>
  <c r="J63"/>
  <c r="G64"/>
  <c r="H64"/>
  <c r="I64"/>
  <c r="J64"/>
  <c r="G65"/>
  <c r="H65"/>
  <c r="I65"/>
  <c r="J65"/>
  <c r="G66"/>
  <c r="H66"/>
  <c r="I66"/>
  <c r="J66"/>
  <c r="G67"/>
  <c r="H67"/>
  <c r="I67"/>
  <c r="J67"/>
  <c r="G68"/>
  <c r="H68"/>
  <c r="I68"/>
  <c r="J68"/>
  <c r="G69"/>
  <c r="H69"/>
  <c r="I69"/>
  <c r="J69"/>
  <c r="G70"/>
  <c r="H70"/>
  <c r="I70"/>
  <c r="J70"/>
  <c r="J71"/>
  <c r="I39" i="24"/>
  <c r="D39"/>
  <c r="I38"/>
  <c r="D6"/>
  <c r="G52"/>
  <c r="G25" i="15"/>
  <c r="H52" i="24"/>
  <c r="H25" i="15"/>
  <c r="H38"/>
  <c r="I52" i="24"/>
  <c r="I25" i="15"/>
  <c r="I38"/>
  <c r="J52" i="24"/>
  <c r="J25" i="15"/>
  <c r="J38"/>
  <c r="G55" i="24"/>
  <c r="H55"/>
  <c r="I55"/>
  <c r="J55"/>
  <c r="G56"/>
  <c r="H56"/>
  <c r="I56"/>
  <c r="J56"/>
  <c r="G57"/>
  <c r="H57"/>
  <c r="I57"/>
  <c r="J57"/>
  <c r="G58"/>
  <c r="H58"/>
  <c r="I58"/>
  <c r="J58"/>
  <c r="G60"/>
  <c r="H60"/>
  <c r="I60"/>
  <c r="J60"/>
  <c r="G61"/>
  <c r="H61"/>
  <c r="I61"/>
  <c r="J61"/>
  <c r="G63"/>
  <c r="H63"/>
  <c r="I63"/>
  <c r="J63"/>
  <c r="G64"/>
  <c r="H64"/>
  <c r="I64"/>
  <c r="J64"/>
  <c r="G65"/>
  <c r="H65"/>
  <c r="I65"/>
  <c r="J65"/>
  <c r="G66"/>
  <c r="H66"/>
  <c r="I66"/>
  <c r="J66"/>
  <c r="G67"/>
  <c r="H67"/>
  <c r="I67"/>
  <c r="J67"/>
  <c r="G68"/>
  <c r="H68"/>
  <c r="I68"/>
  <c r="J68"/>
  <c r="G69"/>
  <c r="H69"/>
  <c r="I69"/>
  <c r="J69"/>
  <c r="G70"/>
  <c r="H70"/>
  <c r="I70"/>
  <c r="J70"/>
  <c r="J71"/>
  <c r="I39" i="23"/>
  <c r="D39"/>
  <c r="I38"/>
  <c r="D6"/>
  <c r="C52"/>
  <c r="H52"/>
  <c r="H24" i="15"/>
  <c r="H37"/>
  <c r="I52" i="23"/>
  <c r="I24" i="15"/>
  <c r="I37"/>
  <c r="J52" i="23"/>
  <c r="J24" i="15"/>
  <c r="J37"/>
  <c r="G55" i="23"/>
  <c r="H55"/>
  <c r="I55"/>
  <c r="J55"/>
  <c r="G56"/>
  <c r="H56"/>
  <c r="I56"/>
  <c r="J56"/>
  <c r="G57"/>
  <c r="H57"/>
  <c r="I57"/>
  <c r="J57"/>
  <c r="G58"/>
  <c r="H58"/>
  <c r="I58"/>
  <c r="J58"/>
  <c r="H60"/>
  <c r="I60"/>
  <c r="J60"/>
  <c r="H61"/>
  <c r="I61"/>
  <c r="J61"/>
  <c r="C63"/>
  <c r="C69"/>
  <c r="C72"/>
  <c r="C10" i="15"/>
  <c r="G63" i="23"/>
  <c r="H63"/>
  <c r="I63"/>
  <c r="J63"/>
  <c r="G64"/>
  <c r="H64"/>
  <c r="I64"/>
  <c r="J64"/>
  <c r="G65"/>
  <c r="H65"/>
  <c r="I65"/>
  <c r="J65"/>
  <c r="G66"/>
  <c r="H66"/>
  <c r="I66"/>
  <c r="J66"/>
  <c r="G67"/>
  <c r="H67"/>
  <c r="I67"/>
  <c r="J67"/>
  <c r="H68"/>
  <c r="I68"/>
  <c r="J68"/>
  <c r="H69"/>
  <c r="I69"/>
  <c r="J69"/>
  <c r="G70"/>
  <c r="H70"/>
  <c r="I70"/>
  <c r="J70"/>
  <c r="J71"/>
  <c r="B23" i="15"/>
  <c r="B21"/>
  <c r="I39" i="22"/>
  <c r="D39"/>
  <c r="I38"/>
  <c r="D6"/>
  <c r="C52"/>
  <c r="C23" i="15"/>
  <c r="C36"/>
  <c r="H52" i="22"/>
  <c r="H23" i="15"/>
  <c r="H36"/>
  <c r="I52" i="22"/>
  <c r="I23" i="15"/>
  <c r="I36"/>
  <c r="J52" i="22"/>
  <c r="J23" i="15"/>
  <c r="J36"/>
  <c r="G55" i="22"/>
  <c r="H55"/>
  <c r="I55"/>
  <c r="J55"/>
  <c r="G56"/>
  <c r="H56"/>
  <c r="I56"/>
  <c r="J56"/>
  <c r="G57"/>
  <c r="H57"/>
  <c r="I57"/>
  <c r="J57"/>
  <c r="G58"/>
  <c r="H58"/>
  <c r="I58"/>
  <c r="J58"/>
  <c r="H60"/>
  <c r="I60"/>
  <c r="J60"/>
  <c r="H61"/>
  <c r="I61"/>
  <c r="J61"/>
  <c r="C63"/>
  <c r="G63"/>
  <c r="H63"/>
  <c r="I63"/>
  <c r="J63"/>
  <c r="G64"/>
  <c r="H64"/>
  <c r="I64"/>
  <c r="J64"/>
  <c r="G65"/>
  <c r="H65"/>
  <c r="I65"/>
  <c r="J65"/>
  <c r="G66"/>
  <c r="H66"/>
  <c r="I66"/>
  <c r="J66"/>
  <c r="G67"/>
  <c r="H67"/>
  <c r="I67"/>
  <c r="J67"/>
  <c r="H68"/>
  <c r="I68"/>
  <c r="J68"/>
  <c r="H69"/>
  <c r="I69"/>
  <c r="J69"/>
  <c r="G70"/>
  <c r="H70"/>
  <c r="I70"/>
  <c r="J70"/>
  <c r="J71"/>
  <c r="C60" i="20"/>
  <c r="C61"/>
  <c r="C68"/>
  <c r="C60" i="21"/>
  <c r="C61"/>
  <c r="C68"/>
  <c r="I39"/>
  <c r="D39"/>
  <c r="I38"/>
  <c r="D6"/>
  <c r="C52"/>
  <c r="C22" i="15"/>
  <c r="C35"/>
  <c r="H52" i="21"/>
  <c r="H22" i="15"/>
  <c r="H35"/>
  <c r="I52" i="21"/>
  <c r="I22" i="15"/>
  <c r="I35"/>
  <c r="J52" i="21"/>
  <c r="J22" i="15"/>
  <c r="J35"/>
  <c r="G55" i="21"/>
  <c r="H55"/>
  <c r="I55"/>
  <c r="J55"/>
  <c r="G56"/>
  <c r="H56"/>
  <c r="I56"/>
  <c r="J56"/>
  <c r="G57"/>
  <c r="H57"/>
  <c r="I57"/>
  <c r="J57"/>
  <c r="G58"/>
  <c r="H58"/>
  <c r="I58"/>
  <c r="J58"/>
  <c r="H60"/>
  <c r="I60"/>
  <c r="J60"/>
  <c r="H61"/>
  <c r="I61"/>
  <c r="J61"/>
  <c r="C63"/>
  <c r="C69"/>
  <c r="C72"/>
  <c r="C8" i="15"/>
  <c r="G63" i="21"/>
  <c r="H63"/>
  <c r="I63"/>
  <c r="J63"/>
  <c r="G64"/>
  <c r="H64"/>
  <c r="I64"/>
  <c r="J64"/>
  <c r="G65"/>
  <c r="H65"/>
  <c r="I65"/>
  <c r="J65"/>
  <c r="G66"/>
  <c r="H66"/>
  <c r="I66"/>
  <c r="J66"/>
  <c r="G67"/>
  <c r="H67"/>
  <c r="I67"/>
  <c r="J67"/>
  <c r="H68"/>
  <c r="I68"/>
  <c r="J68"/>
  <c r="H69"/>
  <c r="I69"/>
  <c r="J69"/>
  <c r="G70"/>
  <c r="H70"/>
  <c r="I70"/>
  <c r="J70"/>
  <c r="J71"/>
  <c r="I39" i="20"/>
  <c r="D39"/>
  <c r="I38"/>
  <c r="D6"/>
  <c r="C52"/>
  <c r="C21" i="15"/>
  <c r="C34"/>
  <c r="H52" i="20"/>
  <c r="H21" i="15"/>
  <c r="H34"/>
  <c r="I52" i="20"/>
  <c r="I21" i="15"/>
  <c r="I34"/>
  <c r="J52" i="20"/>
  <c r="J21" i="15"/>
  <c r="J34"/>
  <c r="G55" i="20"/>
  <c r="H55"/>
  <c r="I55"/>
  <c r="J55"/>
  <c r="G56"/>
  <c r="H56"/>
  <c r="I56"/>
  <c r="J56"/>
  <c r="G57"/>
  <c r="H57"/>
  <c r="I57"/>
  <c r="J57"/>
  <c r="G58"/>
  <c r="H58"/>
  <c r="I58"/>
  <c r="J58"/>
  <c r="H60"/>
  <c r="I60"/>
  <c r="J60"/>
  <c r="H61"/>
  <c r="I61"/>
  <c r="J61"/>
  <c r="C63"/>
  <c r="C69"/>
  <c r="C72"/>
  <c r="C7" i="15"/>
  <c r="G63" i="20"/>
  <c r="H63"/>
  <c r="I63"/>
  <c r="J63"/>
  <c r="G64"/>
  <c r="H64"/>
  <c r="I64"/>
  <c r="J64"/>
  <c r="G65"/>
  <c r="H65"/>
  <c r="I65"/>
  <c r="J65"/>
  <c r="G66"/>
  <c r="H66"/>
  <c r="I66"/>
  <c r="J66"/>
  <c r="G67"/>
  <c r="H67"/>
  <c r="I67"/>
  <c r="J67"/>
  <c r="H68"/>
  <c r="I68"/>
  <c r="J68"/>
  <c r="H69"/>
  <c r="I69"/>
  <c r="J69"/>
  <c r="G70"/>
  <c r="H70"/>
  <c r="I70"/>
  <c r="J70"/>
  <c r="J71"/>
  <c r="C70" i="5"/>
  <c r="G51"/>
  <c r="G57" s="1"/>
  <c r="H51"/>
  <c r="H56"/>
  <c r="I51"/>
  <c r="I56"/>
  <c r="J51"/>
  <c r="D35"/>
  <c r="J54"/>
  <c r="I34"/>
  <c r="H54"/>
  <c r="D34"/>
  <c r="I33"/>
  <c r="D33"/>
  <c r="I65"/>
  <c r="I32"/>
  <c r="D67"/>
  <c r="D32"/>
  <c r="I31"/>
  <c r="D31"/>
  <c r="D64"/>
  <c r="I30"/>
  <c r="D30"/>
  <c r="D66"/>
  <c r="I21"/>
  <c r="D25"/>
  <c r="I26"/>
  <c r="D26"/>
  <c r="I25"/>
  <c r="D21"/>
  <c r="I20"/>
  <c r="D20"/>
  <c r="D16"/>
  <c r="I5" i="18"/>
  <c r="M5"/>
  <c r="L5"/>
  <c r="K5"/>
  <c r="J5"/>
  <c r="I5" i="5"/>
  <c r="I11"/>
  <c r="G49"/>
  <c r="G70" s="1"/>
  <c r="H49"/>
  <c r="I49"/>
  <c r="J49"/>
  <c r="J70" s="1"/>
  <c r="D20" i="15"/>
  <c r="D33"/>
  <c r="E20"/>
  <c r="E33"/>
  <c r="C58" i="5"/>
  <c r="D58"/>
  <c r="E58"/>
  <c r="F58"/>
  <c r="D70"/>
  <c r="E70"/>
  <c r="H70"/>
  <c r="I70"/>
  <c r="B13" i="4"/>
  <c r="C13"/>
  <c r="D13"/>
  <c r="E13"/>
  <c r="F13"/>
  <c r="G13"/>
  <c r="H13"/>
  <c r="I13"/>
  <c r="D38" i="5"/>
  <c r="I38"/>
  <c r="D6"/>
  <c r="I39"/>
  <c r="D39"/>
  <c r="G54"/>
  <c r="I54"/>
  <c r="I55"/>
  <c r="I66"/>
  <c r="C60"/>
  <c r="C61"/>
  <c r="C68"/>
  <c r="F60"/>
  <c r="F61"/>
  <c r="F68"/>
  <c r="D60"/>
  <c r="D61"/>
  <c r="D68"/>
  <c r="C63"/>
  <c r="F63"/>
  <c r="E63"/>
  <c r="D63"/>
  <c r="C64"/>
  <c r="F64"/>
  <c r="E64"/>
  <c r="C65"/>
  <c r="J65"/>
  <c r="H65"/>
  <c r="G65"/>
  <c r="F65"/>
  <c r="E65"/>
  <c r="D65"/>
  <c r="C66"/>
  <c r="F66"/>
  <c r="E66"/>
  <c r="C67"/>
  <c r="J67"/>
  <c r="I67"/>
  <c r="H67"/>
  <c r="G67"/>
  <c r="F67"/>
  <c r="E67"/>
  <c r="H57"/>
  <c r="J57"/>
  <c r="I57"/>
  <c r="F69"/>
  <c r="D69"/>
  <c r="D72"/>
  <c r="I64"/>
  <c r="J64"/>
  <c r="H64"/>
  <c r="H58"/>
  <c r="I58"/>
  <c r="I63"/>
  <c r="J58"/>
  <c r="D6" i="15"/>
  <c r="G56" i="5"/>
  <c r="J56"/>
  <c r="E60"/>
  <c r="G55"/>
  <c r="G66"/>
  <c r="E61"/>
  <c r="E68"/>
  <c r="E69"/>
  <c r="E72"/>
  <c r="H55"/>
  <c r="J55"/>
  <c r="J66"/>
  <c r="J63"/>
  <c r="H66"/>
  <c r="H63"/>
  <c r="E6" i="15"/>
  <c r="G50" i="23"/>
  <c r="G52"/>
  <c r="G24" i="15"/>
  <c r="G60" i="23"/>
  <c r="G61"/>
  <c r="G68"/>
  <c r="G69"/>
  <c r="G72"/>
  <c r="G10" i="15"/>
  <c r="C69" i="5"/>
  <c r="C72"/>
  <c r="C6" i="15"/>
  <c r="B26"/>
  <c r="B25"/>
  <c r="B39"/>
  <c r="B38"/>
  <c r="G37"/>
  <c r="K37"/>
  <c r="K24"/>
  <c r="G38"/>
  <c r="K38"/>
  <c r="K25"/>
  <c r="G39"/>
  <c r="K39"/>
  <c r="K26"/>
  <c r="G40"/>
  <c r="K40"/>
  <c r="K27"/>
  <c r="B35" l="1"/>
  <c r="B22"/>
  <c r="G64" i="5"/>
  <c r="G58"/>
  <c r="G63" s="1"/>
  <c r="F71"/>
  <c r="F72" s="1"/>
  <c r="F6" i="15" s="1"/>
  <c r="F20"/>
  <c r="C61" i="22"/>
  <c r="C68" s="1"/>
  <c r="C69" s="1"/>
  <c r="C72" s="1"/>
  <c r="C9" i="15"/>
  <c r="F33" l="1"/>
  <c r="C28"/>
  <c r="E4" i="16" l="1"/>
  <c r="C41" i="15"/>
  <c r="G50" i="21"/>
  <c r="G52"/>
  <c r="G60"/>
  <c r="G61"/>
  <c r="G68"/>
  <c r="G69"/>
  <c r="G72"/>
  <c r="G8" i="15"/>
  <c r="G22"/>
  <c r="K8" s="1"/>
  <c r="K22"/>
  <c r="G35"/>
  <c r="K35"/>
  <c r="K9"/>
  <c r="G50" i="22" l="1"/>
  <c r="G52"/>
  <c r="G60"/>
  <c r="G61"/>
  <c r="G68"/>
  <c r="G69"/>
  <c r="G72"/>
  <c r="G9" i="15"/>
  <c r="G23"/>
  <c r="K23"/>
  <c r="G36"/>
  <c r="K36"/>
  <c r="G50" i="5"/>
  <c r="H50"/>
  <c r="I50"/>
  <c r="J50"/>
  <c r="G52"/>
  <c r="H52"/>
  <c r="I52"/>
  <c r="J52"/>
  <c r="G60"/>
  <c r="H60"/>
  <c r="I60"/>
  <c r="J60"/>
  <c r="G61"/>
  <c r="H61"/>
  <c r="I61"/>
  <c r="J61"/>
  <c r="G68"/>
  <c r="H68"/>
  <c r="I68"/>
  <c r="J68"/>
  <c r="G69"/>
  <c r="H69"/>
  <c r="I69"/>
  <c r="J69"/>
  <c r="J71"/>
  <c r="G72"/>
  <c r="H72"/>
  <c r="I72"/>
  <c r="J72"/>
  <c r="G50" i="20"/>
  <c r="G52"/>
  <c r="G60"/>
  <c r="G61"/>
  <c r="G68"/>
  <c r="G69"/>
  <c r="G72"/>
  <c r="M4" i="16"/>
  <c r="E5"/>
  <c r="M5"/>
  <c r="E6"/>
  <c r="M6"/>
  <c r="M7"/>
  <c r="M8"/>
  <c r="M9"/>
  <c r="E10"/>
  <c r="E14"/>
  <c r="E15"/>
  <c r="E16"/>
  <c r="G6" i="15"/>
  <c r="H6"/>
  <c r="I6"/>
  <c r="J6"/>
  <c r="K6"/>
  <c r="G7"/>
  <c r="K7"/>
  <c r="K14"/>
  <c r="G20"/>
  <c r="H20"/>
  <c r="I20"/>
  <c r="J20"/>
  <c r="K20"/>
  <c r="G21"/>
  <c r="K21"/>
  <c r="G28"/>
  <c r="K28"/>
  <c r="G33"/>
  <c r="H33"/>
  <c r="I33"/>
  <c r="J33"/>
  <c r="K33"/>
  <c r="G34"/>
  <c r="K34"/>
  <c r="G41"/>
  <c r="K41"/>
  <c r="A7" i="17"/>
  <c r="B14"/>
  <c r="F14"/>
  <c r="J14"/>
  <c r="N14"/>
  <c r="T14"/>
  <c r="A3" i="19"/>
</calcChain>
</file>

<file path=xl/sharedStrings.xml><?xml version="1.0" encoding="utf-8"?>
<sst xmlns="http://schemas.openxmlformats.org/spreadsheetml/2006/main" count="1448" uniqueCount="245">
  <si>
    <t>Taken from: Research Bulletin 60, OSU Forest Research Lab, 9/87.</t>
  </si>
  <si>
    <t>Generic Wood</t>
  </si>
  <si>
    <t>Generic Hardwood Bark</t>
  </si>
  <si>
    <t>Generic Hardwood</t>
  </si>
  <si>
    <t>Generic Softwood Bark</t>
  </si>
  <si>
    <t xml:space="preserve">Generic Softwood </t>
  </si>
  <si>
    <t>Oregon White Oak Bark</t>
  </si>
  <si>
    <t>Oregon White Oak</t>
  </si>
  <si>
    <t>Bigleaf Maple Bark</t>
  </si>
  <si>
    <t>Bigleaf Maple</t>
  </si>
  <si>
    <t>Oregon Ash Bark</t>
  </si>
  <si>
    <t>Oregon Ash</t>
  </si>
  <si>
    <t>Red Alder Bark</t>
  </si>
  <si>
    <t>Red Alder</t>
  </si>
  <si>
    <t>Port Orford Cedar Bark</t>
  </si>
  <si>
    <t>Port Orford Cedar</t>
  </si>
  <si>
    <t>Western Red Cedar Bark</t>
  </si>
  <si>
    <t>Western Red Cedar</t>
  </si>
  <si>
    <t>Redwood Bark</t>
  </si>
  <si>
    <t>Redwood</t>
  </si>
  <si>
    <t>Ponderosa Pine Bark</t>
  </si>
  <si>
    <t>Ponderosa Pine</t>
  </si>
  <si>
    <t>Lodgepole Pine Bark</t>
  </si>
  <si>
    <t>Lodgepole Pine</t>
  </si>
  <si>
    <t>Western Hemlock Bark</t>
  </si>
  <si>
    <t>Western Hemlock Wood</t>
  </si>
  <si>
    <t>Douglas Fir Bark</t>
  </si>
  <si>
    <t>Douglas Fir Wood</t>
  </si>
  <si>
    <t>(%)</t>
  </si>
  <si>
    <t>(Btu/lb)</t>
  </si>
  <si>
    <t>Units</t>
  </si>
  <si>
    <t>Percent</t>
  </si>
  <si>
    <t>HHV</t>
  </si>
  <si>
    <t>MC</t>
  </si>
  <si>
    <t>Ash</t>
  </si>
  <si>
    <r>
      <t>O</t>
    </r>
    <r>
      <rPr>
        <b/>
        <vertAlign val="subscript"/>
        <sz val="10"/>
        <rFont val="Times New Roman"/>
        <family val="1"/>
      </rPr>
      <t>2</t>
    </r>
  </si>
  <si>
    <r>
      <t>N</t>
    </r>
    <r>
      <rPr>
        <b/>
        <vertAlign val="subscript"/>
        <sz val="10"/>
        <rFont val="Times New Roman"/>
        <family val="1"/>
      </rPr>
      <t>2</t>
    </r>
  </si>
  <si>
    <t>H</t>
  </si>
  <si>
    <t>S</t>
  </si>
  <si>
    <t>C</t>
  </si>
  <si>
    <t>Wood Properties Summary</t>
  </si>
  <si>
    <t>Actual Wood Moisture Content (Wet Basis)</t>
  </si>
  <si>
    <t>Wood Species</t>
  </si>
  <si>
    <t>Wood</t>
  </si>
  <si>
    <t>Bio-Diesel</t>
  </si>
  <si>
    <t>Propane</t>
  </si>
  <si>
    <t>Fuel Oil 6</t>
  </si>
  <si>
    <t>Fuel Oil 2</t>
  </si>
  <si>
    <t>Natural Gas</t>
  </si>
  <si>
    <t>Coal</t>
  </si>
  <si>
    <t>Low</t>
  </si>
  <si>
    <t>High</t>
  </si>
  <si>
    <t>Weight</t>
  </si>
  <si>
    <r>
      <t>Proposed O</t>
    </r>
    <r>
      <rPr>
        <b/>
        <vertAlign val="subscript"/>
        <sz val="10"/>
        <rFont val="Times New Roman"/>
        <family val="1"/>
      </rPr>
      <t>2</t>
    </r>
  </si>
  <si>
    <t>Molecular</t>
  </si>
  <si>
    <t>Fuel Properties Summary</t>
  </si>
  <si>
    <t>Fuel Type</t>
  </si>
  <si>
    <t>Boiler Efficiency</t>
  </si>
  <si>
    <t>Cycling Losses</t>
  </si>
  <si>
    <t>Combustion Efficiency</t>
  </si>
  <si>
    <t>Moisture in the Air</t>
  </si>
  <si>
    <t>Losses Due to Ash</t>
  </si>
  <si>
    <t>Carbon Monoxide</t>
  </si>
  <si>
    <t>Moisture in Fuel</t>
  </si>
  <si>
    <t xml:space="preserve">Moisture Formation </t>
  </si>
  <si>
    <t>Dry Gas Losses</t>
  </si>
  <si>
    <t>Efficiencies</t>
  </si>
  <si>
    <r>
      <t xml:space="preserve">Air Flow Rate </t>
    </r>
    <r>
      <rPr>
        <sz val="9"/>
        <rFont val="Times New Roman"/>
        <family val="1"/>
      </rPr>
      <t>(lbm/min)</t>
    </r>
  </si>
  <si>
    <r>
      <t xml:space="preserve">Fuel Flow Rate </t>
    </r>
    <r>
      <rPr>
        <sz val="9"/>
        <rFont val="Times New Roman"/>
        <family val="1"/>
      </rPr>
      <t>(lbm/min)</t>
    </r>
  </si>
  <si>
    <t>Mass Flow Rates</t>
  </si>
  <si>
    <t>Net Stack Temperature</t>
  </si>
  <si>
    <t>-</t>
  </si>
  <si>
    <t>Stack Temperature</t>
  </si>
  <si>
    <t>CO</t>
  </si>
  <si>
    <r>
      <t>CO</t>
    </r>
    <r>
      <rPr>
        <vertAlign val="subscript"/>
        <sz val="10"/>
        <rFont val="Times New Roman"/>
        <family val="1"/>
      </rPr>
      <t>2</t>
    </r>
  </si>
  <si>
    <r>
      <t>O</t>
    </r>
    <r>
      <rPr>
        <vertAlign val="subscript"/>
        <sz val="10"/>
        <rFont val="Times New Roman"/>
        <family val="1"/>
      </rPr>
      <t>2</t>
    </r>
  </si>
  <si>
    <t>Stack Conditions</t>
  </si>
  <si>
    <t>Operating Hours</t>
  </si>
  <si>
    <t>Percent Capacity</t>
  </si>
  <si>
    <t>Energy Use</t>
  </si>
  <si>
    <t>Standby</t>
  </si>
  <si>
    <t>Medium</t>
  </si>
  <si>
    <t>Proposed</t>
  </si>
  <si>
    <r>
      <rPr>
        <vertAlign val="superscript"/>
        <sz val="10"/>
        <rFont val="Times New Roman"/>
        <family val="1"/>
      </rPr>
      <t>o</t>
    </r>
    <r>
      <rPr>
        <sz val="10"/>
        <rFont val="Times New Roman"/>
        <family val="1"/>
      </rPr>
      <t>F</t>
    </r>
  </si>
  <si>
    <t>psig</t>
  </si>
  <si>
    <t>psia</t>
  </si>
  <si>
    <t>Atmospheric Pressure</t>
  </si>
  <si>
    <t>lbv/lb air</t>
  </si>
  <si>
    <t>Air Humidity Ratio</t>
  </si>
  <si>
    <t>feet</t>
  </si>
  <si>
    <t>Elevation</t>
  </si>
  <si>
    <t>Inlet Air Temperature</t>
  </si>
  <si>
    <t>hours</t>
  </si>
  <si>
    <t>MMBtu/hr</t>
  </si>
  <si>
    <t>Maximum Firing Rate</t>
  </si>
  <si>
    <t>Control Type</t>
  </si>
  <si>
    <t>Manufacturer</t>
  </si>
  <si>
    <t>Combustible</t>
  </si>
  <si>
    <t>Thermal Losses</t>
  </si>
  <si>
    <t>Efficiency Summary</t>
  </si>
  <si>
    <t>Current</t>
  </si>
  <si>
    <t>Savings</t>
  </si>
  <si>
    <t>Energy Savings Summary</t>
  </si>
  <si>
    <t>Cost Savings Summary</t>
  </si>
  <si>
    <t>Total</t>
  </si>
  <si>
    <t xml:space="preserve"> Equations</t>
  </si>
  <si>
    <t>Information For Narrative</t>
  </si>
  <si>
    <t>Total Current Energy Use</t>
  </si>
  <si>
    <t>(Rf. 1)</t>
  </si>
  <si>
    <t>Total Proposed Energy Use</t>
  </si>
  <si>
    <t>Energy Savings</t>
  </si>
  <si>
    <t>(ES)</t>
  </si>
  <si>
    <t>(Eq. 1)</t>
  </si>
  <si>
    <t>(Eq. 2)</t>
  </si>
  <si>
    <t>Economic Results</t>
  </si>
  <si>
    <t xml:space="preserve">Cost Savings </t>
  </si>
  <si>
    <t>(CS)</t>
  </si>
  <si>
    <t xml:space="preserve">Implementation Costs </t>
  </si>
  <si>
    <t>(IC)</t>
  </si>
  <si>
    <t xml:space="preserve"> References</t>
  </si>
  <si>
    <t xml:space="preserve">Payback </t>
  </si>
  <si>
    <t>(PB)</t>
  </si>
  <si>
    <t>years</t>
  </si>
  <si>
    <t>Boiler Tune</t>
  </si>
  <si>
    <t xml:space="preserve">  Boiler Tune</t>
  </si>
  <si>
    <t xml:space="preserve"> Boiler Tune</t>
  </si>
  <si>
    <t>MMBtu</t>
  </si>
  <si>
    <r>
      <t xml:space="preserve">Rf. 1) </t>
    </r>
    <r>
      <rPr>
        <sz val="10"/>
        <color indexed="8"/>
        <rFont val="Times New Roman"/>
        <family val="1"/>
      </rPr>
      <t>Savings were calculated using the Boiler Worksheet found on the following pages.</t>
    </r>
  </si>
  <si>
    <t>Labor Costs</t>
  </si>
  <si>
    <t>Number of Boilers to Tune</t>
  </si>
  <si>
    <t>(B)</t>
  </si>
  <si>
    <t xml:space="preserve">Labor Cost per Boiler </t>
  </si>
  <si>
    <t>(L)</t>
  </si>
  <si>
    <t>Implementation Cost Summary</t>
  </si>
  <si>
    <t>(Eq. 3)</t>
  </si>
  <si>
    <r>
      <rPr>
        <b/>
        <sz val="10"/>
        <color indexed="8"/>
        <rFont val="Times New Roman"/>
        <family val="1"/>
      </rPr>
      <t xml:space="preserve">Eq. 1) </t>
    </r>
    <r>
      <rPr>
        <sz val="10"/>
        <color indexed="8"/>
        <rFont val="Times New Roman"/>
        <family val="1"/>
      </rPr>
      <t>Annual Energy Savings (</t>
    </r>
    <r>
      <rPr>
        <i/>
        <sz val="10"/>
        <color indexed="8"/>
        <rFont val="Times New Roman"/>
        <family val="1"/>
      </rPr>
      <t>ES</t>
    </r>
    <r>
      <rPr>
        <sz val="10"/>
        <color indexed="8"/>
        <rFont val="Times New Roman"/>
        <family val="1"/>
      </rPr>
      <t>)</t>
    </r>
  </si>
  <si>
    <r>
      <rPr>
        <b/>
        <sz val="10"/>
        <color indexed="8"/>
        <rFont val="Times New Roman"/>
        <family val="1"/>
      </rPr>
      <t xml:space="preserve">Eq. 2) </t>
    </r>
    <r>
      <rPr>
        <sz val="10"/>
        <color indexed="8"/>
        <rFont val="Times New Roman"/>
        <family val="1"/>
      </rPr>
      <t>Cost Savings (</t>
    </r>
    <r>
      <rPr>
        <i/>
        <sz val="10"/>
        <color indexed="8"/>
        <rFont val="Times New Roman"/>
        <family val="1"/>
      </rPr>
      <t>CS</t>
    </r>
    <r>
      <rPr>
        <sz val="10"/>
        <color indexed="8"/>
        <rFont val="Times New Roman"/>
        <family val="1"/>
      </rPr>
      <t>)</t>
    </r>
  </si>
  <si>
    <r>
      <rPr>
        <b/>
        <sz val="10"/>
        <color indexed="8"/>
        <rFont val="Times New Roman"/>
        <family val="1"/>
      </rPr>
      <t xml:space="preserve">Eq. 3) </t>
    </r>
    <r>
      <rPr>
        <sz val="10"/>
        <color indexed="8"/>
        <rFont val="Times New Roman"/>
        <family val="1"/>
      </rPr>
      <t>Implementation Costs (</t>
    </r>
    <r>
      <rPr>
        <i/>
        <sz val="10"/>
        <color indexed="8"/>
        <rFont val="Times New Roman"/>
        <family val="1"/>
      </rPr>
      <t>IC</t>
    </r>
    <r>
      <rPr>
        <sz val="10"/>
        <color indexed="8"/>
        <rFont val="Times New Roman"/>
        <family val="1"/>
      </rPr>
      <t>)</t>
    </r>
  </si>
  <si>
    <r>
      <t xml:space="preserve"> (CE</t>
    </r>
    <r>
      <rPr>
        <sz val="9"/>
        <color indexed="8"/>
        <rFont val="Times New Roman"/>
        <family val="1"/>
      </rPr>
      <t>)</t>
    </r>
  </si>
  <si>
    <r>
      <t>(PE</t>
    </r>
    <r>
      <rPr>
        <sz val="9"/>
        <color indexed="8"/>
        <rFont val="Times New Roman"/>
        <family val="1"/>
      </rPr>
      <t>)</t>
    </r>
  </si>
  <si>
    <r>
      <t xml:space="preserve">N. 1) </t>
    </r>
    <r>
      <rPr>
        <sz val="10"/>
        <color indexed="8"/>
        <rFont val="Times New Roman"/>
        <family val="1"/>
      </rPr>
      <t>The boiler should be tuned immediately, and then once every year to maintain optimum efficiency.</t>
    </r>
  </si>
  <si>
    <t>(N. 1)</t>
  </si>
  <si>
    <t>Notes</t>
  </si>
  <si>
    <t>Recommendation</t>
  </si>
  <si>
    <t>Assessment Recommendation Summary</t>
  </si>
  <si>
    <t>Energy</t>
  </si>
  <si>
    <t>Cost</t>
  </si>
  <si>
    <t>Implementation</t>
  </si>
  <si>
    <t>Payback</t>
  </si>
  <si>
    <t>(MMBtu)*</t>
  </si>
  <si>
    <t>(Years)</t>
  </si>
  <si>
    <t>(therm)*</t>
  </si>
  <si>
    <t>*  1 MMBtu = 1,000,000 Btu, 1 therm = 100,000 Btu</t>
  </si>
  <si>
    <t>Background</t>
  </si>
  <si>
    <t>Proposal</t>
  </si>
  <si>
    <t>Percent Energy Use Reduction</t>
  </si>
  <si>
    <t>Energy (MMBtu)</t>
  </si>
  <si>
    <t>Energy (therms)</t>
  </si>
  <si>
    <t>Cost Savings</t>
  </si>
  <si>
    <t>Implementation Cost</t>
  </si>
  <si>
    <t>Minimum Firing Rate</t>
  </si>
  <si>
    <t>Purge Air Temperature</t>
  </si>
  <si>
    <t>Purge Cycle Time</t>
  </si>
  <si>
    <t>seconds</t>
  </si>
  <si>
    <t>minutes</t>
  </si>
  <si>
    <t>Pressure Range</t>
  </si>
  <si>
    <t>psi</t>
  </si>
  <si>
    <t>Steam System Volume</t>
  </si>
  <si>
    <r>
      <t>ft</t>
    </r>
    <r>
      <rPr>
        <vertAlign val="superscript"/>
        <sz val="10"/>
        <rFont val="Times New Roman"/>
        <family val="1"/>
      </rPr>
      <t>3</t>
    </r>
  </si>
  <si>
    <t>btu/lbm</t>
  </si>
  <si>
    <t>btu/(lbm-R)</t>
  </si>
  <si>
    <t>Steam Gas Constant</t>
  </si>
  <si>
    <t>Run Cycle</t>
  </si>
  <si>
    <t>Off Cycle</t>
  </si>
  <si>
    <t>Total Cycle</t>
  </si>
  <si>
    <t>DPVh</t>
  </si>
  <si>
    <t>Standby Cycle Time</t>
  </si>
  <si>
    <t>Properties of Steam</t>
  </si>
  <si>
    <t>Enthalpy</t>
  </si>
  <si>
    <t>Saturated Liquid</t>
  </si>
  <si>
    <t>Evaporated</t>
  </si>
  <si>
    <t>Saturated Vapor</t>
  </si>
  <si>
    <t>25 (vacuum)</t>
  </si>
  <si>
    <t>20 (vacuum)</t>
  </si>
  <si>
    <t>15 (vacuum)</t>
  </si>
  <si>
    <t>10 (vacuum)</t>
  </si>
  <si>
    <t>5 (vacuum)</t>
  </si>
  <si>
    <t>(psig)</t>
  </si>
  <si>
    <t>Gauge Pressure</t>
  </si>
  <si>
    <t>Specific Volume Saturated Vapor</t>
  </si>
  <si>
    <r>
      <t>(</t>
    </r>
    <r>
      <rPr>
        <b/>
        <vertAlign val="superscript"/>
        <sz val="9"/>
        <color indexed="8"/>
        <rFont val="Times New Roman"/>
        <family val="1"/>
      </rPr>
      <t>o</t>
    </r>
    <r>
      <rPr>
        <b/>
        <sz val="9"/>
        <color indexed="8"/>
        <rFont val="Times New Roman"/>
        <family val="1"/>
      </rPr>
      <t>F)</t>
    </r>
  </si>
  <si>
    <r>
      <t>(ft</t>
    </r>
    <r>
      <rPr>
        <b/>
        <vertAlign val="superscript"/>
        <sz val="9"/>
        <color indexed="8"/>
        <rFont val="Times New Roman"/>
        <family val="1"/>
      </rPr>
      <t>3</t>
    </r>
    <r>
      <rPr>
        <b/>
        <sz val="9"/>
        <color indexed="8"/>
        <rFont val="Times New Roman"/>
        <family val="1"/>
      </rPr>
      <t>/lb)</t>
    </r>
  </si>
  <si>
    <t>Linear Interpolation Formulas</t>
  </si>
  <si>
    <t>Temperature</t>
  </si>
  <si>
    <t>Boiler Information</t>
  </si>
  <si>
    <t>Enviromental Data</t>
  </si>
  <si>
    <t>Steam System</t>
  </si>
  <si>
    <t>Boiler Cycling</t>
  </si>
  <si>
    <t>Inlet Water Temperature</t>
  </si>
  <si>
    <t>Fuel Cost</t>
  </si>
  <si>
    <t>Current Steam Properties</t>
  </si>
  <si>
    <t>Evaporated Enthalpy</t>
  </si>
  <si>
    <t>Saturated Liquid Enthalpy</t>
  </si>
  <si>
    <t>Saturated Vapor Enthalpy</t>
  </si>
  <si>
    <t xml:space="preserve">Saturated Vapor Specific Volume </t>
  </si>
  <si>
    <r>
      <t>ft</t>
    </r>
    <r>
      <rPr>
        <vertAlign val="superscript"/>
        <sz val="10"/>
        <color indexed="8"/>
        <rFont val="Times New Roman"/>
        <family val="1"/>
      </rPr>
      <t>3</t>
    </r>
    <r>
      <rPr>
        <sz val="10"/>
        <color indexed="8"/>
        <rFont val="Times New Roman"/>
        <family val="1"/>
      </rPr>
      <t>/lb</t>
    </r>
  </si>
  <si>
    <t>Proposed Steam Properties</t>
  </si>
  <si>
    <t>Current Steam Pressure</t>
  </si>
  <si>
    <t>Current Steam Temperature</t>
  </si>
  <si>
    <t>Proposed Steam Pressure</t>
  </si>
  <si>
    <t>Proposed Steam Temperature</t>
  </si>
  <si>
    <t>Fuel Properties</t>
  </si>
  <si>
    <t>Percent Carbon</t>
  </si>
  <si>
    <t>Percent Sulfur</t>
  </si>
  <si>
    <t>Percent Hydrogen</t>
  </si>
  <si>
    <t>Percent Nitrogen</t>
  </si>
  <si>
    <t>Percent Oxygen</t>
  </si>
  <si>
    <t>Percent Ash</t>
  </si>
  <si>
    <t>Moisture Content</t>
  </si>
  <si>
    <t>Higher Heating Value</t>
  </si>
  <si>
    <t>Molecular Weight</t>
  </si>
  <si>
    <r>
      <t>N</t>
    </r>
    <r>
      <rPr>
        <vertAlign val="subscript"/>
        <sz val="10"/>
        <rFont val="Times New Roman"/>
        <family val="1"/>
      </rPr>
      <t>2</t>
    </r>
  </si>
  <si>
    <r>
      <t>O</t>
    </r>
    <r>
      <rPr>
        <vertAlign val="subscript"/>
        <sz val="10"/>
        <color indexed="8"/>
        <rFont val="Times New Roman"/>
        <family val="1"/>
      </rPr>
      <t>2</t>
    </r>
  </si>
  <si>
    <t>/MMBtu</t>
  </si>
  <si>
    <t>Source: http://www.flickr.com/photos/anguskirk/</t>
  </si>
  <si>
    <t>Efficiency can also be improved by cleaning scale from the waterside heat transfer surfaces.  Scale deposits occur when calcium, magnesium, and silica, form a layer of material on the boiler heat exchanger surfaces.  By removing the scale, heat transfer will improve, lowering stack temperatures.</t>
  </si>
  <si>
    <r>
      <rPr>
        <vertAlign val="superscript"/>
        <sz val="11"/>
        <rFont val="Times New Roman"/>
        <family val="1"/>
      </rPr>
      <t>o</t>
    </r>
    <r>
      <rPr>
        <sz val="11"/>
        <rFont val="Times New Roman"/>
        <family val="1"/>
      </rPr>
      <t>F</t>
    </r>
  </si>
  <si>
    <t>We calculate combustion efficiencies from the combustion gas conditions we measured using the ASME indirect method.  We then calculate boiler efficiencies including radiation, convection and cycling losses.  For more detailed information regarding how efficiency losses are calculated, refer to the Boiler Appendix.</t>
  </si>
  <si>
    <t>On-Off</t>
  </si>
  <si>
    <t>User Information</t>
  </si>
  <si>
    <t>The calculations in this sheet are based on the ASME PTC 4 Indirect Methods for computing boiler efficiency.</t>
  </si>
  <si>
    <t>The proposed efficiency is calculated using an iterative process.  In order for this to work you must enable iterative calculations, In Excel hit the office button and select "Excel Options" then click on the "Formulas" tab and check the "Enable Iterative Calculation" box.</t>
  </si>
  <si>
    <t>We measured combustion gas temperatures and composition at several firing rates in order to establish an accurate model for boiler operation.  With the combustion gas analysis, we used the ASME indirect method to calculate combustion efficiency for your boiler(s) at each firing rate.  We then used the operating hours that plant personnel provided to calculate annual fuel use for your boiler(s).  We verified the information that we measured, obtained from plant personnel, or assumed through boiler records or logs to the extent possible.  Finally, we compared the calculated boiler fuel use with your fuel bills to verify the model is consistent with your operation.</t>
  </si>
  <si>
    <t>(MMBtu)</t>
  </si>
  <si>
    <t>g/mol</t>
  </si>
  <si>
    <r>
      <t>High/Medium Fire Proposed O</t>
    </r>
    <r>
      <rPr>
        <vertAlign val="subscript"/>
        <sz val="11"/>
        <rFont val="Times New Roman"/>
        <family val="1"/>
      </rPr>
      <t>2</t>
    </r>
  </si>
  <si>
    <r>
      <t>Low/Standby Fire Proposed O</t>
    </r>
    <r>
      <rPr>
        <vertAlign val="subscript"/>
        <sz val="11"/>
        <rFont val="Times New Roman"/>
        <family val="1"/>
      </rPr>
      <t>2</t>
    </r>
  </si>
  <si>
    <t>Fuel Input (MMBtu/hr)</t>
  </si>
  <si>
    <t>Energy Use (MMBtu/yr)</t>
  </si>
  <si>
    <t>Location</t>
  </si>
  <si>
    <r>
      <t>Ideally, a boiler would use just enough combustion air to burn all of the fuel, with no excess air.  Excess air carries heat up the stack and reduces boiler efficiency.  However, all burners require some excess air to ensure complete combustion.  We assume that you can operate your boiler with 4.0% excess oxygen (O</t>
    </r>
    <r>
      <rPr>
        <vertAlign val="subscript"/>
        <sz val="12"/>
        <color indexed="8"/>
        <rFont val="Times New Roman"/>
        <family val="1"/>
      </rPr>
      <t>2</t>
    </r>
    <r>
      <rPr>
        <sz val="12"/>
        <color indexed="8"/>
        <rFont val="Times New Roman"/>
        <family val="1"/>
      </rPr>
      <t>).  Depending on the boiler and control strategy it could be possible to reduce excess oxygen below 4.0% for additional savings, although care must be taken to ensure combustibles (unburned fuel) and carbon monoxide (CO) concentrations do not rise to unacceptable levels.</t>
    </r>
  </si>
  <si>
    <t>AR No. #</t>
  </si>
  <si>
    <t>Boiler 1</t>
  </si>
  <si>
    <t>Boiler 2</t>
  </si>
  <si>
    <t>Full Modulating</t>
  </si>
</sst>
</file>

<file path=xl/styles.xml><?xml version="1.0" encoding="utf-8"?>
<styleSheet xmlns="http://schemas.openxmlformats.org/spreadsheetml/2006/main">
  <numFmts count="12">
    <numFmt numFmtId="6" formatCode="&quot;$&quot;#,##0_);[Red]\(&quot;$&quot;#,##0\)"/>
    <numFmt numFmtId="44" formatCode="_(&quot;$&quot;* #,##0.00_);_(&quot;$&quot;* \(#,##0.00\);_(&quot;$&quot;* &quot;-&quot;??_);_(@_)"/>
    <numFmt numFmtId="43" formatCode="_(* #,##0.00_);_(* \(#,##0.00\);_(* &quot;-&quot;??_);_(@_)"/>
    <numFmt numFmtId="164" formatCode="0.0%"/>
    <numFmt numFmtId="165" formatCode="#,##0.0"/>
    <numFmt numFmtId="166" formatCode="0.0000"/>
    <numFmt numFmtId="167" formatCode="###.0&quot; F&quot;"/>
    <numFmt numFmtId="168" formatCode="###&quot; ppm&quot;"/>
    <numFmt numFmtId="169" formatCode="0.0"/>
    <numFmt numFmtId="170" formatCode="&quot;$&quot;#,##0"/>
    <numFmt numFmtId="171" formatCode="&quot;$&quot;#,##0.00"/>
    <numFmt numFmtId="172" formatCode="#,##0.0_);\(#,##0.0\)"/>
  </numFmts>
  <fonts count="44">
    <font>
      <sz val="11"/>
      <color theme="1"/>
      <name val="Calibri"/>
      <family val="2"/>
      <scheme val="minor"/>
    </font>
    <font>
      <sz val="11"/>
      <color indexed="8"/>
      <name val="Calibri"/>
      <family val="2"/>
    </font>
    <font>
      <sz val="10"/>
      <name val="Arial"/>
      <family val="2"/>
    </font>
    <font>
      <sz val="10"/>
      <name val="Times New Roman"/>
      <family val="1"/>
    </font>
    <font>
      <b/>
      <sz val="10"/>
      <name val="Times New Roman"/>
      <family val="1"/>
    </font>
    <font>
      <b/>
      <vertAlign val="subscript"/>
      <sz val="10"/>
      <name val="Times New Roman"/>
      <family val="1"/>
    </font>
    <font>
      <b/>
      <sz val="11"/>
      <name val="Times New Roman"/>
      <family val="1"/>
    </font>
    <font>
      <sz val="11"/>
      <name val="Times New Roman"/>
      <family val="1"/>
    </font>
    <font>
      <b/>
      <i/>
      <sz val="11"/>
      <name val="Times New Roman"/>
      <family val="1"/>
    </font>
    <font>
      <sz val="9"/>
      <name val="Times New Roman"/>
      <family val="1"/>
    </font>
    <font>
      <vertAlign val="subscript"/>
      <sz val="10"/>
      <name val="Times New Roman"/>
      <family val="1"/>
    </font>
    <font>
      <vertAlign val="superscript"/>
      <sz val="10"/>
      <name val="Times New Roman"/>
      <family val="1"/>
    </font>
    <font>
      <b/>
      <sz val="20"/>
      <name val="Times New Roman"/>
      <family val="1"/>
    </font>
    <font>
      <b/>
      <sz val="20"/>
      <color indexed="9"/>
      <name val="Times New Roman"/>
      <family val="1"/>
    </font>
    <font>
      <b/>
      <sz val="12"/>
      <name val="Times New Roman"/>
      <family val="1"/>
    </font>
    <font>
      <sz val="8"/>
      <name val="Tahoma"/>
      <family val="2"/>
    </font>
    <font>
      <sz val="11"/>
      <color indexed="8"/>
      <name val="Times New Roman"/>
      <family val="1"/>
    </font>
    <font>
      <sz val="20"/>
      <color indexed="9"/>
      <name val="Times New Roman"/>
      <family val="1"/>
    </font>
    <font>
      <sz val="12"/>
      <color indexed="8"/>
      <name val="Times New Roman"/>
      <family val="1"/>
    </font>
    <font>
      <sz val="9"/>
      <color indexed="8"/>
      <name val="Times New Roman"/>
      <family val="1"/>
    </font>
    <font>
      <sz val="10"/>
      <color indexed="8"/>
      <name val="Times New Roman"/>
      <family val="1"/>
    </font>
    <font>
      <b/>
      <sz val="12"/>
      <color indexed="8"/>
      <name val="Times New Roman"/>
      <family val="1"/>
    </font>
    <font>
      <b/>
      <i/>
      <sz val="11"/>
      <color indexed="8"/>
      <name val="Times New Roman"/>
      <family val="1"/>
    </font>
    <font>
      <b/>
      <sz val="10"/>
      <color indexed="8"/>
      <name val="Times New Roman"/>
      <family val="1"/>
    </font>
    <font>
      <i/>
      <sz val="9"/>
      <color indexed="8"/>
      <name val="Times New Roman"/>
      <family val="1"/>
    </font>
    <font>
      <i/>
      <sz val="10"/>
      <color indexed="8"/>
      <name val="Times New Roman"/>
      <family val="1"/>
    </font>
    <font>
      <b/>
      <sz val="9"/>
      <color indexed="8"/>
      <name val="Times New Roman"/>
      <family val="1"/>
    </font>
    <font>
      <b/>
      <sz val="11"/>
      <color indexed="8"/>
      <name val="Times New Roman"/>
      <family val="1"/>
    </font>
    <font>
      <b/>
      <vertAlign val="superscript"/>
      <sz val="9"/>
      <color indexed="8"/>
      <name val="Times New Roman"/>
      <family val="1"/>
    </font>
    <font>
      <vertAlign val="superscript"/>
      <sz val="10"/>
      <color indexed="8"/>
      <name val="Times New Roman"/>
      <family val="1"/>
    </font>
    <font>
      <vertAlign val="subscript"/>
      <sz val="10"/>
      <color indexed="8"/>
      <name val="Times New Roman"/>
      <family val="1"/>
    </font>
    <font>
      <vertAlign val="subscript"/>
      <sz val="12"/>
      <color indexed="8"/>
      <name val="Times New Roman"/>
      <family val="1"/>
    </font>
    <font>
      <vertAlign val="superscript"/>
      <sz val="11"/>
      <name val="Times New Roman"/>
      <family val="1"/>
    </font>
    <font>
      <vertAlign val="subscript"/>
      <sz val="11"/>
      <name val="Times New Roman"/>
      <family val="1"/>
    </font>
    <font>
      <sz val="11"/>
      <color theme="1"/>
      <name val="Calibri"/>
      <family val="2"/>
      <scheme val="minor"/>
    </font>
    <font>
      <sz val="10"/>
      <color theme="1"/>
      <name val="Times New Roman"/>
      <family val="1"/>
    </font>
    <font>
      <sz val="10"/>
      <color rgb="FF0070C0"/>
      <name val="Times New Roman"/>
      <family val="1"/>
    </font>
    <font>
      <b/>
      <sz val="12"/>
      <color theme="1"/>
      <name val="Times New Roman"/>
      <family val="1"/>
    </font>
    <font>
      <sz val="11"/>
      <color theme="1"/>
      <name val="Times New Roman"/>
      <family val="1"/>
    </font>
    <font>
      <b/>
      <sz val="10"/>
      <color theme="1"/>
      <name val="Times New Roman"/>
      <family val="1"/>
    </font>
    <font>
      <b/>
      <sz val="9"/>
      <color theme="1"/>
      <name val="Times New Roman"/>
      <family val="1"/>
    </font>
    <font>
      <sz val="11"/>
      <color rgb="FF0070C0"/>
      <name val="Times New Roman"/>
      <family val="1"/>
    </font>
    <font>
      <sz val="12"/>
      <color theme="1"/>
      <name val="Times New Roman"/>
      <family val="1"/>
    </font>
    <font>
      <b/>
      <sz val="20"/>
      <color theme="0"/>
      <name val="Times New Roman"/>
      <family val="1"/>
    </font>
  </fonts>
  <fills count="12">
    <fill>
      <patternFill patternType="none"/>
    </fill>
    <fill>
      <patternFill patternType="gray125"/>
    </fill>
    <fill>
      <patternFill patternType="solid">
        <fgColor indexed="9"/>
        <bgColor indexed="9"/>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9"/>
      </patternFill>
    </fill>
    <fill>
      <patternFill patternType="solid">
        <fgColor theme="9" tint="0.59999389629810485"/>
        <bgColor indexed="64"/>
      </patternFill>
    </fill>
    <fill>
      <patternFill patternType="solid">
        <fgColor theme="0"/>
        <bgColor indexed="23"/>
      </patternFill>
    </fill>
    <fill>
      <patternFill patternType="solid">
        <fgColor theme="0" tint="-0.34998626667073579"/>
        <bgColor indexed="23"/>
      </patternFill>
    </fill>
    <fill>
      <patternFill patternType="solid">
        <fgColor theme="0" tint="-0.34998626667073579"/>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18">
    <xf numFmtId="0" fontId="0" fillId="0" borderId="0"/>
    <xf numFmtId="43" fontId="2" fillId="0" borderId="0" applyFill="0" applyBorder="0" applyAlignment="0" applyProtection="0"/>
    <xf numFmtId="43" fontId="2" fillId="0" borderId="0" applyFill="0" applyBorder="0" applyAlignment="0" applyProtection="0"/>
    <xf numFmtId="43" fontId="2" fillId="0" borderId="0" applyFont="0" applyFill="0" applyBorder="0" applyAlignment="0" applyProtection="0"/>
    <xf numFmtId="0" fontId="2"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2" fillId="0" borderId="0"/>
    <xf numFmtId="0" fontId="2" fillId="0" borderId="0"/>
    <xf numFmtId="0" fontId="1" fillId="0" borderId="0"/>
    <xf numFmtId="9" fontId="2" fillId="0" borderId="0" applyFill="0" applyBorder="0" applyAlignment="0" applyProtection="0"/>
    <xf numFmtId="9" fontId="2" fillId="0" borderId="0" applyFont="0" applyFill="0" applyBorder="0" applyAlignment="0" applyProtection="0"/>
  </cellStyleXfs>
  <cellXfs count="488">
    <xf numFmtId="0" fontId="0" fillId="0" borderId="0" xfId="0"/>
    <xf numFmtId="10" fontId="3" fillId="3" borderId="1" xfId="4" applyNumberFormat="1" applyFont="1" applyFill="1" applyBorder="1" applyAlignment="1" applyProtection="1">
      <alignment horizontal="center" vertical="center"/>
    </xf>
    <xf numFmtId="164" fontId="3" fillId="3" borderId="1" xfId="4" applyNumberFormat="1" applyFont="1" applyFill="1" applyBorder="1" applyAlignment="1" applyProtection="1">
      <alignment horizontal="center" vertical="center"/>
    </xf>
    <xf numFmtId="3" fontId="3" fillId="3" borderId="1" xfId="4" applyNumberFormat="1" applyFont="1" applyFill="1" applyBorder="1" applyAlignment="1" applyProtection="1">
      <alignment horizontal="center" vertical="center"/>
    </xf>
    <xf numFmtId="0" fontId="3" fillId="3" borderId="3" xfId="4" applyFont="1" applyFill="1" applyBorder="1" applyAlignment="1" applyProtection="1">
      <alignment vertical="center"/>
    </xf>
    <xf numFmtId="10" fontId="3" fillId="3" borderId="3" xfId="4" applyNumberFormat="1" applyFont="1" applyFill="1" applyBorder="1" applyAlignment="1" applyProtection="1">
      <alignment horizontal="center" vertical="center"/>
    </xf>
    <xf numFmtId="3" fontId="3" fillId="3" borderId="3" xfId="4" applyNumberFormat="1" applyFont="1" applyFill="1" applyBorder="1" applyAlignment="1" applyProtection="1">
      <alignment horizontal="center" vertical="center"/>
    </xf>
    <xf numFmtId="165" fontId="3" fillId="3" borderId="3" xfId="4" applyNumberFormat="1" applyFont="1" applyFill="1" applyBorder="1" applyAlignment="1" applyProtection="1">
      <alignment horizontal="center" vertical="center"/>
    </xf>
    <xf numFmtId="164" fontId="3" fillId="3" borderId="3" xfId="4" applyNumberFormat="1" applyFont="1" applyFill="1" applyBorder="1" applyAlignment="1" applyProtection="1">
      <alignment horizontal="center" vertical="center"/>
    </xf>
    <xf numFmtId="164" fontId="3" fillId="3" borderId="4" xfId="4" applyNumberFormat="1" applyFont="1" applyFill="1" applyBorder="1" applyAlignment="1" applyProtection="1">
      <alignment horizontal="center" vertical="center"/>
    </xf>
    <xf numFmtId="0" fontId="3" fillId="0" borderId="1" xfId="4" applyFont="1" applyBorder="1" applyAlignment="1" applyProtection="1">
      <alignment vertical="center"/>
    </xf>
    <xf numFmtId="10" fontId="3" fillId="0" borderId="1" xfId="4" applyNumberFormat="1" applyFont="1" applyBorder="1" applyAlignment="1" applyProtection="1">
      <alignment horizontal="center" vertical="center"/>
    </xf>
    <xf numFmtId="3" fontId="3" fillId="0" borderId="1" xfId="4" applyNumberFormat="1" applyFont="1" applyBorder="1" applyAlignment="1" applyProtection="1">
      <alignment horizontal="center" vertical="center"/>
    </xf>
    <xf numFmtId="165" fontId="3" fillId="0" borderId="1" xfId="4" applyNumberFormat="1" applyFont="1" applyBorder="1" applyAlignment="1" applyProtection="1">
      <alignment horizontal="center" vertical="center"/>
    </xf>
    <xf numFmtId="164" fontId="3" fillId="0" borderId="1" xfId="4" applyNumberFormat="1" applyFont="1" applyBorder="1" applyAlignment="1" applyProtection="1">
      <alignment horizontal="center" vertical="center"/>
    </xf>
    <xf numFmtId="164" fontId="3" fillId="0" borderId="5" xfId="4" applyNumberFormat="1" applyFont="1" applyBorder="1" applyAlignment="1" applyProtection="1">
      <alignment horizontal="center" vertical="center"/>
    </xf>
    <xf numFmtId="0" fontId="3" fillId="3" borderId="1" xfId="4" applyFont="1" applyFill="1" applyBorder="1" applyAlignment="1" applyProtection="1">
      <alignment vertical="center"/>
    </xf>
    <xf numFmtId="165" fontId="3" fillId="3" borderId="1" xfId="4" applyNumberFormat="1" applyFont="1" applyFill="1" applyBorder="1" applyAlignment="1" applyProtection="1">
      <alignment horizontal="center" vertical="center"/>
    </xf>
    <xf numFmtId="164" fontId="3" fillId="3" borderId="5" xfId="4" applyNumberFormat="1" applyFont="1" applyFill="1" applyBorder="1" applyAlignment="1" applyProtection="1">
      <alignment horizontal="center" vertical="center"/>
    </xf>
    <xf numFmtId="0" fontId="3" fillId="3" borderId="6" xfId="4" applyFont="1" applyFill="1" applyBorder="1" applyAlignment="1" applyProtection="1">
      <alignment vertical="center"/>
    </xf>
    <xf numFmtId="10" fontId="3" fillId="3" borderId="6" xfId="4" applyNumberFormat="1" applyFont="1" applyFill="1" applyBorder="1" applyAlignment="1" applyProtection="1">
      <alignment horizontal="center" vertical="center"/>
    </xf>
    <xf numFmtId="3" fontId="3" fillId="3" borderId="6" xfId="4" applyNumberFormat="1" applyFont="1" applyFill="1" applyBorder="1" applyAlignment="1" applyProtection="1">
      <alignment horizontal="center" vertical="center"/>
    </xf>
    <xf numFmtId="165" fontId="3" fillId="3" borderId="6" xfId="4" applyNumberFormat="1" applyFont="1" applyFill="1" applyBorder="1" applyAlignment="1" applyProtection="1">
      <alignment horizontal="center" vertical="center"/>
    </xf>
    <xf numFmtId="164" fontId="3" fillId="3" borderId="6" xfId="4" applyNumberFormat="1" applyFont="1" applyFill="1" applyBorder="1" applyAlignment="1" applyProtection="1">
      <alignment horizontal="center" vertical="center"/>
    </xf>
    <xf numFmtId="164" fontId="3" fillId="3" borderId="7" xfId="4" applyNumberFormat="1" applyFont="1" applyFill="1" applyBorder="1" applyAlignment="1" applyProtection="1">
      <alignment horizontal="center" vertical="center"/>
    </xf>
    <xf numFmtId="0" fontId="3" fillId="3" borderId="3" xfId="4" applyFont="1" applyFill="1" applyBorder="1" applyProtection="1"/>
    <xf numFmtId="10" fontId="3" fillId="3" borderId="3" xfId="4" applyNumberFormat="1" applyFont="1" applyFill="1" applyBorder="1" applyAlignment="1" applyProtection="1">
      <alignment horizontal="center"/>
    </xf>
    <xf numFmtId="3" fontId="3" fillId="3" borderId="3" xfId="4" applyNumberFormat="1" applyFont="1" applyFill="1" applyBorder="1" applyAlignment="1" applyProtection="1">
      <alignment horizontal="center"/>
    </xf>
    <xf numFmtId="0" fontId="3" fillId="0" borderId="1" xfId="4" applyFont="1" applyBorder="1" applyProtection="1"/>
    <xf numFmtId="10" fontId="3" fillId="0" borderId="1" xfId="4" applyNumberFormat="1" applyFont="1" applyBorder="1" applyAlignment="1" applyProtection="1">
      <alignment horizontal="center"/>
    </xf>
    <xf numFmtId="3" fontId="3" fillId="0" borderId="1" xfId="4" applyNumberFormat="1" applyFont="1" applyBorder="1" applyAlignment="1" applyProtection="1">
      <alignment horizontal="center"/>
    </xf>
    <xf numFmtId="0" fontId="3" fillId="3" borderId="1" xfId="4" applyFont="1" applyFill="1" applyBorder="1" applyProtection="1"/>
    <xf numFmtId="10" fontId="3" fillId="3" borderId="1" xfId="4" applyNumberFormat="1" applyFont="1" applyFill="1" applyBorder="1" applyAlignment="1" applyProtection="1">
      <alignment horizontal="center"/>
    </xf>
    <xf numFmtId="3" fontId="3" fillId="3" borderId="1" xfId="4" applyNumberFormat="1" applyFont="1" applyFill="1" applyBorder="1" applyAlignment="1" applyProtection="1">
      <alignment horizontal="center"/>
    </xf>
    <xf numFmtId="0" fontId="3" fillId="3" borderId="6" xfId="4" applyFont="1" applyFill="1" applyBorder="1" applyProtection="1"/>
    <xf numFmtId="10" fontId="3" fillId="3" borderId="6" xfId="4" applyNumberFormat="1" applyFont="1" applyFill="1" applyBorder="1" applyAlignment="1" applyProtection="1">
      <alignment horizontal="center"/>
    </xf>
    <xf numFmtId="3" fontId="3" fillId="3" borderId="6" xfId="4" applyNumberFormat="1" applyFont="1" applyFill="1" applyBorder="1" applyAlignment="1" applyProtection="1">
      <alignment horizontal="center"/>
    </xf>
    <xf numFmtId="165" fontId="3" fillId="4" borderId="8" xfId="4" applyNumberFormat="1" applyFont="1" applyFill="1" applyBorder="1" applyAlignment="1" applyProtection="1">
      <alignment horizontal="center"/>
    </xf>
    <xf numFmtId="165" fontId="3" fillId="4" borderId="9" xfId="4" applyNumberFormat="1" applyFont="1" applyFill="1" applyBorder="1" applyAlignment="1" applyProtection="1">
      <alignment horizontal="center"/>
    </xf>
    <xf numFmtId="165" fontId="3" fillId="4" borderId="7" xfId="4" applyNumberFormat="1" applyFont="1" applyFill="1" applyBorder="1" applyAlignment="1" applyProtection="1">
      <alignment horizontal="center"/>
    </xf>
    <xf numFmtId="166" fontId="3" fillId="3" borderId="10" xfId="4" applyNumberFormat="1" applyFont="1" applyFill="1" applyBorder="1" applyAlignment="1" applyProtection="1">
      <alignment horizontal="center" vertical="center"/>
    </xf>
    <xf numFmtId="166" fontId="3" fillId="3" borderId="11" xfId="4" applyNumberFormat="1" applyFont="1" applyFill="1" applyBorder="1" applyAlignment="1" applyProtection="1">
      <alignment horizontal="center" vertical="center"/>
    </xf>
    <xf numFmtId="166" fontId="3" fillId="3" borderId="4" xfId="4" applyNumberFormat="1" applyFont="1" applyFill="1" applyBorder="1" applyAlignment="1" applyProtection="1">
      <alignment horizontal="center" vertical="center"/>
    </xf>
    <xf numFmtId="166" fontId="3" fillId="4" borderId="8" xfId="4" applyNumberFormat="1" applyFont="1" applyFill="1" applyBorder="1" applyAlignment="1" applyProtection="1">
      <alignment horizontal="center" vertical="center"/>
    </xf>
    <xf numFmtId="166" fontId="3" fillId="4" borderId="9" xfId="4" applyNumberFormat="1" applyFont="1" applyFill="1" applyBorder="1" applyAlignment="1" applyProtection="1">
      <alignment horizontal="center" vertical="center"/>
    </xf>
    <xf numFmtId="166" fontId="3" fillId="4" borderId="7" xfId="4" applyNumberFormat="1" applyFont="1" applyFill="1" applyBorder="1" applyAlignment="1" applyProtection="1">
      <alignment horizontal="center" vertical="center"/>
    </xf>
    <xf numFmtId="10" fontId="3" fillId="4" borderId="12" xfId="4" applyNumberFormat="1" applyFont="1" applyFill="1" applyBorder="1" applyAlignment="1" applyProtection="1">
      <alignment horizontal="center" vertical="center"/>
    </xf>
    <xf numFmtId="10" fontId="3" fillId="4" borderId="0" xfId="4" applyNumberFormat="1" applyFont="1" applyFill="1" applyBorder="1" applyAlignment="1" applyProtection="1">
      <alignment horizontal="center" vertical="center"/>
    </xf>
    <xf numFmtId="10" fontId="3" fillId="4" borderId="5" xfId="4" applyNumberFormat="1" applyFont="1" applyFill="1" applyBorder="1" applyAlignment="1" applyProtection="1">
      <alignment horizontal="center" vertical="center"/>
    </xf>
    <xf numFmtId="164" fontId="4" fillId="4" borderId="13" xfId="4" applyNumberFormat="1" applyFont="1" applyFill="1" applyBorder="1" applyAlignment="1" applyProtection="1">
      <alignment horizontal="center" vertical="center"/>
    </xf>
    <xf numFmtId="164" fontId="4" fillId="4" borderId="14" xfId="4" applyNumberFormat="1" applyFont="1" applyFill="1" applyBorder="1" applyAlignment="1" applyProtection="1">
      <alignment horizontal="center" vertical="center"/>
    </xf>
    <xf numFmtId="164" fontId="4" fillId="4" borderId="15" xfId="4" applyNumberFormat="1" applyFont="1" applyFill="1" applyBorder="1" applyAlignment="1" applyProtection="1">
      <alignment horizontal="center" vertical="center"/>
    </xf>
    <xf numFmtId="164" fontId="3" fillId="4" borderId="12" xfId="4" applyNumberFormat="1" applyFont="1" applyFill="1" applyBorder="1" applyAlignment="1" applyProtection="1">
      <alignment horizontal="center" vertical="center"/>
    </xf>
    <xf numFmtId="164" fontId="3" fillId="4" borderId="0" xfId="4" applyNumberFormat="1" applyFont="1" applyFill="1" applyBorder="1" applyAlignment="1" applyProtection="1">
      <alignment horizontal="center" vertical="center"/>
    </xf>
    <xf numFmtId="164" fontId="3" fillId="4" borderId="5" xfId="4" applyNumberFormat="1" applyFont="1" applyFill="1" applyBorder="1" applyAlignment="1" applyProtection="1">
      <alignment horizontal="center" vertical="center"/>
    </xf>
    <xf numFmtId="167" fontId="3" fillId="4" borderId="12" xfId="4" applyNumberFormat="1" applyFont="1" applyFill="1" applyBorder="1" applyAlignment="1" applyProtection="1">
      <alignment horizontal="center" vertical="center"/>
    </xf>
    <xf numFmtId="167" fontId="3" fillId="4" borderId="0" xfId="4" applyNumberFormat="1" applyFont="1" applyFill="1" applyBorder="1" applyAlignment="1" applyProtection="1">
      <alignment horizontal="center" vertical="center"/>
    </xf>
    <xf numFmtId="167" fontId="3" fillId="4" borderId="5" xfId="4" applyNumberFormat="1" applyFont="1" applyFill="1" applyBorder="1" applyAlignment="1" applyProtection="1">
      <alignment horizontal="center" vertical="center"/>
    </xf>
    <xf numFmtId="167" fontId="3" fillId="5" borderId="0" xfId="4" applyNumberFormat="1" applyFont="1" applyFill="1" applyBorder="1" applyAlignment="1" applyProtection="1">
      <alignment horizontal="center" vertical="center"/>
    </xf>
    <xf numFmtId="0" fontId="18" fillId="0" borderId="0" xfId="5" applyFont="1"/>
    <xf numFmtId="0" fontId="21" fillId="0" borderId="0" xfId="5" applyFont="1"/>
    <xf numFmtId="170" fontId="7" fillId="3" borderId="0" xfId="4" applyNumberFormat="1" applyFont="1" applyFill="1" applyBorder="1" applyAlignment="1" applyProtection="1">
      <alignment horizontal="center" vertical="center"/>
    </xf>
    <xf numFmtId="170" fontId="7" fillId="4" borderId="0" xfId="4" applyNumberFormat="1" applyFont="1" applyFill="1" applyBorder="1" applyAlignment="1" applyProtection="1">
      <alignment horizontal="center" vertical="center"/>
    </xf>
    <xf numFmtId="2" fontId="3" fillId="4" borderId="12" xfId="4" applyNumberFormat="1" applyFont="1" applyFill="1" applyBorder="1" applyAlignment="1" applyProtection="1">
      <alignment horizontal="center" vertical="center"/>
    </xf>
    <xf numFmtId="2" fontId="3" fillId="4" borderId="0" xfId="4" applyNumberFormat="1" applyFont="1" applyFill="1" applyBorder="1" applyAlignment="1" applyProtection="1">
      <alignment horizontal="center" vertical="center"/>
    </xf>
    <xf numFmtId="2" fontId="3" fillId="4" borderId="5" xfId="4" applyNumberFormat="1" applyFont="1" applyFill="1" applyBorder="1" applyAlignment="1" applyProtection="1">
      <alignment horizontal="center" vertical="center"/>
    </xf>
    <xf numFmtId="0" fontId="21" fillId="0" borderId="0" xfId="5" applyFont="1" applyAlignment="1">
      <alignment horizontal="center"/>
    </xf>
    <xf numFmtId="0" fontId="7" fillId="4" borderId="0" xfId="4" applyFont="1" applyFill="1" applyBorder="1" applyProtection="1"/>
    <xf numFmtId="0" fontId="7" fillId="4" borderId="0" xfId="4" applyFont="1" applyFill="1" applyBorder="1" applyAlignment="1" applyProtection="1"/>
    <xf numFmtId="0" fontId="6" fillId="5" borderId="3" xfId="4" applyFont="1" applyFill="1" applyBorder="1" applyAlignment="1" applyProtection="1">
      <alignment horizontal="center"/>
    </xf>
    <xf numFmtId="0" fontId="3" fillId="3" borderId="2" xfId="4" applyFont="1" applyFill="1" applyBorder="1" applyAlignment="1" applyProtection="1">
      <alignment horizontal="center" vertical="center"/>
    </xf>
    <xf numFmtId="0" fontId="3" fillId="4" borderId="2" xfId="4" applyFont="1" applyFill="1" applyBorder="1" applyAlignment="1" applyProtection="1">
      <alignment horizontal="center" vertical="center"/>
    </xf>
    <xf numFmtId="0" fontId="6" fillId="5" borderId="6" xfId="4" applyFont="1" applyFill="1" applyBorder="1" applyAlignment="1" applyProtection="1">
      <alignment horizontal="center"/>
    </xf>
    <xf numFmtId="0" fontId="7" fillId="3" borderId="3" xfId="4" applyFont="1" applyFill="1" applyBorder="1" applyAlignment="1" applyProtection="1">
      <alignment vertical="center"/>
    </xf>
    <xf numFmtId="164" fontId="7" fillId="3" borderId="10" xfId="4" applyNumberFormat="1" applyFont="1" applyFill="1" applyBorder="1" applyAlignment="1" applyProtection="1">
      <alignment horizontal="center" vertical="center"/>
    </xf>
    <xf numFmtId="164" fontId="7" fillId="3" borderId="11" xfId="4" applyNumberFormat="1" applyFont="1" applyFill="1" applyBorder="1" applyAlignment="1" applyProtection="1">
      <alignment horizontal="center" vertical="center"/>
    </xf>
    <xf numFmtId="164" fontId="7" fillId="3" borderId="4" xfId="4" applyNumberFormat="1" applyFont="1" applyFill="1" applyBorder="1" applyAlignment="1" applyProtection="1">
      <alignment horizontal="center" vertical="center"/>
    </xf>
    <xf numFmtId="164" fontId="7" fillId="3" borderId="3" xfId="4" applyNumberFormat="1" applyFont="1" applyFill="1" applyBorder="1" applyAlignment="1" applyProtection="1">
      <alignment horizontal="center"/>
    </xf>
    <xf numFmtId="0" fontId="6" fillId="4" borderId="1" xfId="4" applyFont="1" applyFill="1" applyBorder="1" applyAlignment="1" applyProtection="1">
      <alignment vertical="center"/>
    </xf>
    <xf numFmtId="164" fontId="7" fillId="4" borderId="1" xfId="4" applyNumberFormat="1" applyFont="1" applyFill="1" applyBorder="1" applyAlignment="1" applyProtection="1">
      <alignment horizontal="center"/>
    </xf>
    <xf numFmtId="0" fontId="7" fillId="3" borderId="1" xfId="4" applyFont="1" applyFill="1" applyBorder="1" applyAlignment="1" applyProtection="1">
      <alignment vertical="center"/>
    </xf>
    <xf numFmtId="164" fontId="7" fillId="3" borderId="1" xfId="4" applyNumberFormat="1" applyFont="1" applyFill="1" applyBorder="1" applyAlignment="1" applyProtection="1">
      <alignment horizontal="center"/>
    </xf>
    <xf numFmtId="0" fontId="7" fillId="4" borderId="1" xfId="4" applyFont="1" applyFill="1" applyBorder="1" applyAlignment="1" applyProtection="1">
      <alignment vertical="center"/>
    </xf>
    <xf numFmtId="0" fontId="7" fillId="4" borderId="1" xfId="4" applyFont="1" applyFill="1" applyBorder="1" applyAlignment="1" applyProtection="1">
      <alignment horizontal="left" vertical="center"/>
    </xf>
    <xf numFmtId="0" fontId="7" fillId="3" borderId="1" xfId="4" applyFont="1" applyFill="1" applyBorder="1" applyProtection="1"/>
    <xf numFmtId="0" fontId="6" fillId="6" borderId="13" xfId="4" applyFont="1" applyFill="1" applyBorder="1" applyProtection="1"/>
    <xf numFmtId="164" fontId="6" fillId="6" borderId="2" xfId="4" applyNumberFormat="1" applyFont="1" applyFill="1" applyBorder="1" applyAlignment="1" applyProtection="1">
      <alignment horizontal="center"/>
    </xf>
    <xf numFmtId="0" fontId="3" fillId="4" borderId="0" xfId="4" applyFont="1" applyFill="1" applyBorder="1" applyProtection="1"/>
    <xf numFmtId="165" fontId="7" fillId="3" borderId="10" xfId="4" applyNumberFormat="1" applyFont="1" applyFill="1" applyBorder="1" applyAlignment="1" applyProtection="1">
      <alignment horizontal="center" vertical="center"/>
    </xf>
    <xf numFmtId="165" fontId="7" fillId="3" borderId="11" xfId="4" applyNumberFormat="1" applyFont="1" applyFill="1" applyBorder="1" applyAlignment="1" applyProtection="1">
      <alignment horizontal="center" vertical="center"/>
    </xf>
    <xf numFmtId="165" fontId="7" fillId="3" borderId="4" xfId="4" applyNumberFormat="1" applyFont="1" applyFill="1" applyBorder="1" applyAlignment="1" applyProtection="1">
      <alignment horizontal="center" vertical="center"/>
    </xf>
    <xf numFmtId="165" fontId="7" fillId="3" borderId="3" xfId="4" applyNumberFormat="1" applyFont="1" applyFill="1" applyBorder="1" applyAlignment="1" applyProtection="1">
      <alignment horizontal="center"/>
    </xf>
    <xf numFmtId="165" fontId="7" fillId="4" borderId="1" xfId="4" applyNumberFormat="1" applyFont="1" applyFill="1" applyBorder="1" applyAlignment="1" applyProtection="1">
      <alignment horizontal="center"/>
    </xf>
    <xf numFmtId="165" fontId="7" fillId="3" borderId="1" xfId="4" applyNumberFormat="1" applyFont="1" applyFill="1" applyBorder="1" applyAlignment="1" applyProtection="1">
      <alignment horizontal="center"/>
    </xf>
    <xf numFmtId="165" fontId="6" fillId="6" borderId="2" xfId="4" applyNumberFormat="1" applyFont="1" applyFill="1" applyBorder="1" applyAlignment="1" applyProtection="1">
      <alignment horizontal="center"/>
    </xf>
    <xf numFmtId="170" fontId="7" fillId="3" borderId="10" xfId="4" applyNumberFormat="1" applyFont="1" applyFill="1" applyBorder="1" applyAlignment="1" applyProtection="1">
      <alignment horizontal="center" vertical="center"/>
    </xf>
    <xf numFmtId="170" fontId="7" fillId="3" borderId="11" xfId="4" applyNumberFormat="1" applyFont="1" applyFill="1" applyBorder="1" applyAlignment="1" applyProtection="1">
      <alignment horizontal="center" vertical="center"/>
    </xf>
    <xf numFmtId="170" fontId="7" fillId="3" borderId="4" xfId="4" applyNumberFormat="1" applyFont="1" applyFill="1" applyBorder="1" applyAlignment="1" applyProtection="1">
      <alignment horizontal="center" vertical="center"/>
    </xf>
    <xf numFmtId="170" fontId="7" fillId="3" borderId="3" xfId="4" applyNumberFormat="1" applyFont="1" applyFill="1" applyBorder="1" applyAlignment="1" applyProtection="1">
      <alignment horizontal="center"/>
    </xf>
    <xf numFmtId="170" fontId="7" fillId="4" borderId="12" xfId="4" applyNumberFormat="1" applyFont="1" applyFill="1" applyBorder="1" applyAlignment="1" applyProtection="1">
      <alignment horizontal="center" vertical="center"/>
    </xf>
    <xf numFmtId="170" fontId="7" fillId="4" borderId="5" xfId="4" applyNumberFormat="1" applyFont="1" applyFill="1" applyBorder="1" applyAlignment="1" applyProtection="1">
      <alignment horizontal="center" vertical="center"/>
    </xf>
    <xf numFmtId="170" fontId="7" fillId="4" borderId="1" xfId="4" applyNumberFormat="1" applyFont="1" applyFill="1" applyBorder="1" applyAlignment="1" applyProtection="1">
      <alignment horizontal="center"/>
    </xf>
    <xf numFmtId="170" fontId="7" fillId="3" borderId="12" xfId="4" applyNumberFormat="1" applyFont="1" applyFill="1" applyBorder="1" applyAlignment="1" applyProtection="1">
      <alignment horizontal="center" vertical="center"/>
    </xf>
    <xf numFmtId="170" fontId="7" fillId="3" borderId="5" xfId="4" applyNumberFormat="1" applyFont="1" applyFill="1" applyBorder="1" applyAlignment="1" applyProtection="1">
      <alignment horizontal="center" vertical="center"/>
    </xf>
    <xf numFmtId="170" fontId="7" fillId="3" borderId="1" xfId="4" applyNumberFormat="1" applyFont="1" applyFill="1" applyBorder="1" applyAlignment="1" applyProtection="1">
      <alignment horizontal="center"/>
    </xf>
    <xf numFmtId="170" fontId="7" fillId="4" borderId="0" xfId="4" applyNumberFormat="1" applyFont="1" applyFill="1" applyBorder="1" applyAlignment="1" applyProtection="1">
      <alignment horizontal="center"/>
    </xf>
    <xf numFmtId="170" fontId="7" fillId="3" borderId="0" xfId="4" applyNumberFormat="1" applyFont="1" applyFill="1" applyBorder="1" applyAlignment="1" applyProtection="1">
      <alignment horizontal="center"/>
    </xf>
    <xf numFmtId="170" fontId="7" fillId="3" borderId="5" xfId="4" applyNumberFormat="1" applyFont="1" applyFill="1" applyBorder="1" applyAlignment="1" applyProtection="1">
      <alignment horizontal="center"/>
    </xf>
    <xf numFmtId="170" fontId="7" fillId="4" borderId="5" xfId="4" applyNumberFormat="1" applyFont="1" applyFill="1" applyBorder="1" applyAlignment="1" applyProtection="1">
      <alignment horizontal="center"/>
    </xf>
    <xf numFmtId="170" fontId="7" fillId="3" borderId="12" xfId="4" applyNumberFormat="1" applyFont="1" applyFill="1" applyBorder="1" applyAlignment="1" applyProtection="1">
      <alignment horizontal="center"/>
    </xf>
    <xf numFmtId="170" fontId="6" fillId="6" borderId="2" xfId="4" applyNumberFormat="1" applyFont="1" applyFill="1" applyBorder="1" applyAlignment="1" applyProtection="1">
      <alignment horizontal="center"/>
    </xf>
    <xf numFmtId="1" fontId="16" fillId="5" borderId="2" xfId="15" applyNumberFormat="1" applyFont="1" applyFill="1" applyBorder="1" applyAlignment="1" applyProtection="1">
      <alignment vertical="center"/>
    </xf>
    <xf numFmtId="170" fontId="16" fillId="5" borderId="2" xfId="15" applyNumberFormat="1" applyFont="1" applyFill="1" applyBorder="1" applyAlignment="1" applyProtection="1">
      <alignment vertical="center"/>
    </xf>
    <xf numFmtId="170" fontId="16" fillId="7" borderId="16" xfId="5" applyNumberFormat="1" applyFont="1" applyFill="1" applyBorder="1" applyAlignment="1" applyProtection="1">
      <alignment horizontal="right"/>
    </xf>
    <xf numFmtId="169" fontId="16" fillId="7" borderId="16" xfId="5" applyNumberFormat="1" applyFont="1" applyFill="1" applyBorder="1" applyAlignment="1" applyProtection="1">
      <alignment horizontal="right"/>
    </xf>
    <xf numFmtId="37" fontId="16" fillId="5" borderId="2" xfId="0" applyNumberFormat="1" applyFont="1" applyFill="1" applyBorder="1" applyAlignment="1" applyProtection="1">
      <alignment vertical="center"/>
    </xf>
    <xf numFmtId="170" fontId="16" fillId="5" borderId="2" xfId="0" applyNumberFormat="1" applyFont="1" applyFill="1" applyBorder="1" applyAlignment="1" applyProtection="1">
      <alignment vertical="center"/>
    </xf>
    <xf numFmtId="169" fontId="16" fillId="5" borderId="2" xfId="0" applyNumberFormat="1" applyFont="1" applyFill="1" applyBorder="1" applyAlignment="1" applyProtection="1">
      <alignment vertical="center"/>
    </xf>
    <xf numFmtId="9" fontId="3" fillId="5" borderId="10" xfId="4" applyNumberFormat="1" applyFont="1" applyFill="1" applyBorder="1" applyAlignment="1" applyProtection="1">
      <alignment horizontal="center" vertical="center"/>
    </xf>
    <xf numFmtId="9" fontId="3" fillId="5" borderId="11" xfId="4" applyNumberFormat="1" applyFont="1" applyFill="1" applyBorder="1" applyAlignment="1" applyProtection="1">
      <alignment horizontal="center" vertical="center"/>
    </xf>
    <xf numFmtId="9" fontId="3" fillId="5" borderId="4" xfId="4" applyNumberFormat="1" applyFont="1" applyFill="1" applyBorder="1" applyAlignment="1" applyProtection="1">
      <alignment horizontal="center" vertical="center"/>
    </xf>
    <xf numFmtId="3" fontId="3" fillId="5" borderId="12" xfId="4" applyNumberFormat="1" applyFont="1" applyFill="1" applyBorder="1" applyAlignment="1" applyProtection="1">
      <alignment horizontal="center" vertical="center"/>
    </xf>
    <xf numFmtId="3" fontId="3" fillId="5" borderId="0" xfId="4" applyNumberFormat="1" applyFont="1" applyFill="1" applyBorder="1" applyAlignment="1" applyProtection="1">
      <alignment horizontal="center" vertical="center"/>
    </xf>
    <xf numFmtId="3" fontId="3" fillId="5" borderId="5" xfId="4" applyNumberFormat="1" applyFont="1" applyFill="1" applyBorder="1" applyAlignment="1" applyProtection="1">
      <alignment horizontal="center" vertical="center"/>
    </xf>
    <xf numFmtId="164" fontId="3" fillId="5" borderId="12" xfId="4" applyNumberFormat="1" applyFont="1" applyFill="1" applyBorder="1" applyAlignment="1" applyProtection="1">
      <alignment horizontal="center" vertical="center"/>
    </xf>
    <xf numFmtId="164" fontId="3" fillId="5" borderId="0" xfId="4" applyNumberFormat="1" applyFont="1" applyFill="1" applyBorder="1" applyAlignment="1" applyProtection="1">
      <alignment horizontal="center" vertical="center"/>
    </xf>
    <xf numFmtId="164" fontId="3" fillId="5" borderId="5" xfId="4" applyNumberFormat="1" applyFont="1" applyFill="1" applyBorder="1" applyAlignment="1" applyProtection="1">
      <alignment horizontal="center" vertical="center"/>
    </xf>
    <xf numFmtId="167" fontId="3" fillId="5" borderId="12" xfId="4" applyNumberFormat="1" applyFont="1" applyFill="1" applyBorder="1" applyAlignment="1" applyProtection="1">
      <alignment horizontal="center" vertical="center"/>
    </xf>
    <xf numFmtId="167" fontId="3" fillId="5" borderId="5" xfId="4" applyNumberFormat="1" applyFont="1" applyFill="1" applyBorder="1" applyAlignment="1" applyProtection="1">
      <alignment horizontal="center" vertical="center"/>
    </xf>
    <xf numFmtId="10" fontId="3" fillId="5" borderId="12" xfId="4" applyNumberFormat="1" applyFont="1" applyFill="1" applyBorder="1" applyAlignment="1" applyProtection="1">
      <alignment horizontal="center" vertical="center"/>
    </xf>
    <xf numFmtId="10" fontId="3" fillId="5" borderId="0" xfId="4" applyNumberFormat="1" applyFont="1" applyFill="1" applyBorder="1" applyAlignment="1" applyProtection="1">
      <alignment horizontal="center" vertical="center"/>
    </xf>
    <xf numFmtId="10" fontId="3" fillId="5" borderId="5" xfId="4" applyNumberFormat="1" applyFont="1" applyFill="1" applyBorder="1" applyAlignment="1" applyProtection="1">
      <alignment horizontal="center" vertical="center"/>
    </xf>
    <xf numFmtId="0" fontId="3" fillId="6" borderId="9" xfId="4" applyFont="1" applyFill="1" applyBorder="1" applyAlignment="1" applyProtection="1">
      <alignment horizontal="center" vertical="center"/>
    </xf>
    <xf numFmtId="0" fontId="3" fillId="6" borderId="7" xfId="4" applyFont="1" applyFill="1" applyBorder="1" applyAlignment="1" applyProtection="1">
      <alignment horizontal="center" vertical="center"/>
    </xf>
    <xf numFmtId="167" fontId="3" fillId="6" borderId="14" xfId="4" applyNumberFormat="1" applyFont="1" applyFill="1" applyBorder="1" applyAlignment="1" applyProtection="1">
      <alignment horizontal="center" vertical="center"/>
    </xf>
    <xf numFmtId="167" fontId="3" fillId="6" borderId="15" xfId="4" applyNumberFormat="1" applyFont="1" applyFill="1" applyBorder="1" applyAlignment="1" applyProtection="1">
      <alignment horizontal="center" vertical="center"/>
    </xf>
    <xf numFmtId="0" fontId="3" fillId="6" borderId="14" xfId="4" applyFont="1" applyFill="1" applyBorder="1" applyAlignment="1" applyProtection="1">
      <alignment horizontal="center" vertical="center"/>
    </xf>
    <xf numFmtId="0" fontId="3" fillId="6" borderId="15" xfId="4" applyFont="1" applyFill="1" applyBorder="1" applyAlignment="1" applyProtection="1">
      <alignment horizontal="center" vertical="center"/>
    </xf>
    <xf numFmtId="165" fontId="7" fillId="4" borderId="0" xfId="13" applyNumberFormat="1" applyFont="1" applyFill="1" applyBorder="1" applyAlignment="1" applyProtection="1">
      <alignment horizontal="center"/>
    </xf>
    <xf numFmtId="0" fontId="35" fillId="3" borderId="29" xfId="0" applyFont="1" applyFill="1" applyBorder="1" applyAlignment="1" applyProtection="1">
      <alignment horizontal="center" wrapText="1"/>
    </xf>
    <xf numFmtId="3" fontId="35" fillId="3" borderId="29" xfId="0" applyNumberFormat="1" applyFont="1" applyFill="1" applyBorder="1" applyAlignment="1" applyProtection="1">
      <alignment horizontal="center" wrapText="1"/>
    </xf>
    <xf numFmtId="0" fontId="35" fillId="0" borderId="30" xfId="0" applyFont="1" applyBorder="1" applyAlignment="1" applyProtection="1">
      <alignment horizontal="center" wrapText="1"/>
    </xf>
    <xf numFmtId="3" fontId="35" fillId="0" borderId="30" xfId="0" applyNumberFormat="1" applyFont="1" applyBorder="1" applyAlignment="1" applyProtection="1">
      <alignment horizontal="center" wrapText="1"/>
    </xf>
    <xf numFmtId="0" fontId="35" fillId="3" borderId="30" xfId="0" applyFont="1" applyFill="1" applyBorder="1" applyAlignment="1" applyProtection="1">
      <alignment horizontal="center" wrapText="1"/>
    </xf>
    <xf numFmtId="3" fontId="35" fillId="3" borderId="30" xfId="0" applyNumberFormat="1" applyFont="1" applyFill="1" applyBorder="1" applyAlignment="1" applyProtection="1">
      <alignment horizontal="center" wrapText="1"/>
    </xf>
    <xf numFmtId="0" fontId="35" fillId="4" borderId="30" xfId="0" applyFont="1" applyFill="1" applyBorder="1" applyAlignment="1" applyProtection="1">
      <alignment horizontal="center" wrapText="1"/>
    </xf>
    <xf numFmtId="3" fontId="35" fillId="4" borderId="30" xfId="0" applyNumberFormat="1" applyFont="1" applyFill="1" applyBorder="1" applyAlignment="1" applyProtection="1">
      <alignment horizontal="center" wrapText="1"/>
    </xf>
    <xf numFmtId="0" fontId="35" fillId="3" borderId="6" xfId="0" applyFont="1" applyFill="1" applyBorder="1" applyAlignment="1" applyProtection="1">
      <alignment horizontal="center" wrapText="1"/>
    </xf>
    <xf numFmtId="3" fontId="7" fillId="4" borderId="0" xfId="13" applyNumberFormat="1" applyFont="1" applyFill="1" applyBorder="1" applyAlignment="1" applyProtection="1">
      <alignment horizontal="center"/>
    </xf>
    <xf numFmtId="165" fontId="7" fillId="8" borderId="14" xfId="13" applyNumberFormat="1" applyFont="1" applyFill="1" applyBorder="1" applyAlignment="1" applyProtection="1">
      <alignment horizontal="center"/>
    </xf>
    <xf numFmtId="165" fontId="7" fillId="8" borderId="2" xfId="13" applyNumberFormat="1" applyFont="1" applyFill="1" applyBorder="1" applyAlignment="1" applyProtection="1">
      <alignment horizontal="center"/>
    </xf>
    <xf numFmtId="165" fontId="7" fillId="8" borderId="15" xfId="13" applyNumberFormat="1" applyFont="1" applyFill="1" applyBorder="1" applyAlignment="1" applyProtection="1">
      <alignment horizontal="center"/>
    </xf>
    <xf numFmtId="3" fontId="7" fillId="3" borderId="2" xfId="13" applyNumberFormat="1" applyFont="1" applyFill="1" applyBorder="1" applyAlignment="1" applyProtection="1">
      <alignment horizontal="center"/>
      <protection locked="0"/>
    </xf>
    <xf numFmtId="165" fontId="3" fillId="4" borderId="0" xfId="4" applyNumberFormat="1" applyFont="1" applyFill="1" applyBorder="1" applyAlignment="1" applyProtection="1">
      <alignment vertical="center"/>
    </xf>
    <xf numFmtId="2" fontId="3" fillId="4" borderId="0" xfId="4" applyNumberFormat="1" applyFont="1" applyFill="1" applyBorder="1" applyAlignment="1" applyProtection="1"/>
    <xf numFmtId="4" fontId="3" fillId="4" borderId="0" xfId="4" applyNumberFormat="1" applyFont="1" applyFill="1" applyBorder="1" applyAlignment="1" applyProtection="1"/>
    <xf numFmtId="9" fontId="36" fillId="5" borderId="10" xfId="4" applyNumberFormat="1" applyFont="1" applyFill="1" applyBorder="1" applyAlignment="1" applyProtection="1">
      <alignment horizontal="center" vertical="center"/>
      <protection locked="0"/>
    </xf>
    <xf numFmtId="9" fontId="36" fillId="5" borderId="11" xfId="4" applyNumberFormat="1" applyFont="1" applyFill="1" applyBorder="1" applyAlignment="1" applyProtection="1">
      <alignment horizontal="center" vertical="center"/>
      <protection locked="0"/>
    </xf>
    <xf numFmtId="9" fontId="36" fillId="5" borderId="4" xfId="4" applyNumberFormat="1" applyFont="1" applyFill="1" applyBorder="1" applyAlignment="1" applyProtection="1">
      <alignment horizontal="center" vertical="center"/>
      <protection locked="0"/>
    </xf>
    <xf numFmtId="3" fontId="36" fillId="5" borderId="12" xfId="4" applyNumberFormat="1" applyFont="1" applyFill="1" applyBorder="1" applyAlignment="1" applyProtection="1">
      <alignment horizontal="center" vertical="center"/>
      <protection locked="0"/>
    </xf>
    <xf numFmtId="3" fontId="36" fillId="5" borderId="0" xfId="4" applyNumberFormat="1" applyFont="1" applyFill="1" applyBorder="1" applyAlignment="1" applyProtection="1">
      <alignment horizontal="center" vertical="center"/>
      <protection locked="0"/>
    </xf>
    <xf numFmtId="3" fontId="36" fillId="5" borderId="5" xfId="4" applyNumberFormat="1" applyFont="1" applyFill="1" applyBorder="1" applyAlignment="1" applyProtection="1">
      <alignment horizontal="center" vertical="center"/>
      <protection locked="0"/>
    </xf>
    <xf numFmtId="164" fontId="36" fillId="5" borderId="12" xfId="4" applyNumberFormat="1" applyFont="1" applyFill="1" applyBorder="1" applyAlignment="1" applyProtection="1">
      <alignment horizontal="center" vertical="center"/>
      <protection locked="0"/>
    </xf>
    <xf numFmtId="164" fontId="36" fillId="5" borderId="0" xfId="4" applyNumberFormat="1" applyFont="1" applyFill="1" applyBorder="1" applyAlignment="1" applyProtection="1">
      <alignment horizontal="center" vertical="center"/>
      <protection locked="0"/>
    </xf>
    <xf numFmtId="164" fontId="36" fillId="5" borderId="5" xfId="4" applyNumberFormat="1" applyFont="1" applyFill="1" applyBorder="1" applyAlignment="1" applyProtection="1">
      <alignment horizontal="center" vertical="center"/>
      <protection locked="0"/>
    </xf>
    <xf numFmtId="164" fontId="36" fillId="4" borderId="12" xfId="4" applyNumberFormat="1" applyFont="1" applyFill="1" applyBorder="1" applyAlignment="1" applyProtection="1">
      <alignment horizontal="center" vertical="center"/>
      <protection locked="0"/>
    </xf>
    <xf numFmtId="164" fontId="36" fillId="4" borderId="0" xfId="4" applyNumberFormat="1" applyFont="1" applyFill="1" applyBorder="1" applyAlignment="1" applyProtection="1">
      <alignment horizontal="center" vertical="center"/>
      <protection locked="0"/>
    </xf>
    <xf numFmtId="164" fontId="36" fillId="4" borderId="5" xfId="4" applyNumberFormat="1" applyFont="1" applyFill="1" applyBorder="1" applyAlignment="1" applyProtection="1">
      <alignment horizontal="center" vertical="center"/>
      <protection locked="0"/>
    </xf>
    <xf numFmtId="168" fontId="36" fillId="5" borderId="12" xfId="4" applyNumberFormat="1" applyFont="1" applyFill="1" applyBorder="1" applyAlignment="1" applyProtection="1">
      <alignment horizontal="center" vertical="center"/>
      <protection locked="0"/>
    </xf>
    <xf numFmtId="168" fontId="36" fillId="5" borderId="0" xfId="4" applyNumberFormat="1" applyFont="1" applyFill="1" applyBorder="1" applyAlignment="1" applyProtection="1">
      <alignment horizontal="center" vertical="center"/>
      <protection locked="0"/>
    </xf>
    <xf numFmtId="168" fontId="36" fillId="5" borderId="5" xfId="4" applyNumberFormat="1" applyFont="1" applyFill="1" applyBorder="1" applyAlignment="1" applyProtection="1">
      <alignment horizontal="center" vertical="center"/>
      <protection locked="0"/>
    </xf>
    <xf numFmtId="167" fontId="36" fillId="4" borderId="12" xfId="4" applyNumberFormat="1" applyFont="1" applyFill="1" applyBorder="1" applyAlignment="1" applyProtection="1">
      <alignment horizontal="center" vertical="center"/>
      <protection locked="0"/>
    </xf>
    <xf numFmtId="167" fontId="36" fillId="4" borderId="0" xfId="4" applyNumberFormat="1" applyFont="1" applyFill="1" applyBorder="1" applyAlignment="1" applyProtection="1">
      <alignment horizontal="center" vertical="center"/>
      <protection locked="0"/>
    </xf>
    <xf numFmtId="167" fontId="36" fillId="4" borderId="5" xfId="4" applyNumberFormat="1" applyFont="1" applyFill="1" applyBorder="1" applyAlignment="1" applyProtection="1">
      <alignment horizontal="center" vertical="center"/>
      <protection locked="0"/>
    </xf>
    <xf numFmtId="0" fontId="12" fillId="4" borderId="0" xfId="4" applyFont="1" applyFill="1" applyBorder="1" applyAlignment="1" applyProtection="1">
      <alignment vertical="center"/>
    </xf>
    <xf numFmtId="0" fontId="3" fillId="4" borderId="2" xfId="4" applyFont="1" applyFill="1" applyBorder="1" applyAlignment="1" applyProtection="1">
      <alignment horizontal="left" vertical="center"/>
    </xf>
    <xf numFmtId="0" fontId="3" fillId="4" borderId="3" xfId="4" applyFont="1" applyFill="1" applyBorder="1" applyAlignment="1" applyProtection="1">
      <alignment horizontal="left" vertical="center"/>
    </xf>
    <xf numFmtId="0" fontId="3" fillId="4" borderId="4" xfId="4" applyFont="1" applyFill="1" applyBorder="1" applyAlignment="1" applyProtection="1">
      <alignment horizontal="left" vertical="center"/>
    </xf>
    <xf numFmtId="0" fontId="3" fillId="4" borderId="2" xfId="4" applyFont="1" applyFill="1" applyBorder="1" applyAlignment="1" applyProtection="1">
      <alignment horizontal="left"/>
    </xf>
    <xf numFmtId="165" fontId="7" fillId="4" borderId="0" xfId="4" applyNumberFormat="1" applyFont="1" applyFill="1" applyBorder="1" applyProtection="1"/>
    <xf numFmtId="0" fontId="3" fillId="4" borderId="0" xfId="4" applyFont="1" applyFill="1" applyBorder="1" applyAlignment="1" applyProtection="1">
      <alignment horizontal="left"/>
    </xf>
    <xf numFmtId="0" fontId="3" fillId="4" borderId="0" xfId="4" applyFont="1" applyFill="1" applyBorder="1" applyAlignment="1" applyProtection="1"/>
    <xf numFmtId="0" fontId="3" fillId="4" borderId="0" xfId="4" applyFont="1" applyFill="1" applyBorder="1" applyAlignment="1" applyProtection="1">
      <alignment horizontal="left" vertical="center"/>
    </xf>
    <xf numFmtId="9" fontId="3" fillId="4" borderId="0" xfId="4" applyNumberFormat="1" applyFont="1" applyFill="1" applyBorder="1" applyAlignment="1" applyProtection="1">
      <alignment vertical="center"/>
    </xf>
    <xf numFmtId="0" fontId="3" fillId="4" borderId="6" xfId="4" applyFont="1" applyFill="1" applyBorder="1" applyAlignment="1" applyProtection="1">
      <alignment horizontal="left"/>
    </xf>
    <xf numFmtId="0" fontId="3" fillId="4" borderId="3" xfId="4" applyFont="1" applyFill="1" applyBorder="1" applyAlignment="1" applyProtection="1">
      <alignment horizontal="left"/>
    </xf>
    <xf numFmtId="0" fontId="3" fillId="4" borderId="0" xfId="4" applyFont="1" applyFill="1" applyBorder="1" applyAlignment="1" applyProtection="1">
      <alignment vertical="center"/>
    </xf>
    <xf numFmtId="0" fontId="3" fillId="4" borderId="1" xfId="4" applyFont="1" applyFill="1" applyBorder="1" applyAlignment="1" applyProtection="1">
      <alignment horizontal="left"/>
    </xf>
    <xf numFmtId="0" fontId="3" fillId="4" borderId="0" xfId="4" applyFont="1" applyFill="1" applyBorder="1" applyAlignment="1" applyProtection="1">
      <alignment horizontal="left"/>
    </xf>
    <xf numFmtId="166" fontId="3" fillId="4" borderId="0" xfId="4" applyNumberFormat="1" applyFont="1" applyFill="1" applyBorder="1" applyAlignment="1" applyProtection="1"/>
    <xf numFmtId="0" fontId="35" fillId="4" borderId="3" xfId="0" applyFont="1" applyFill="1" applyBorder="1" applyAlignment="1" applyProtection="1">
      <alignment horizontal="left" vertical="center" wrapText="1"/>
    </xf>
    <xf numFmtId="165" fontId="3" fillId="4" borderId="0" xfId="4" applyNumberFormat="1" applyFont="1" applyFill="1" applyBorder="1" applyProtection="1"/>
    <xf numFmtId="0" fontId="35" fillId="4" borderId="2" xfId="0" applyFont="1" applyFill="1" applyBorder="1" applyAlignment="1" applyProtection="1">
      <alignment horizontal="left" vertical="center" wrapText="1"/>
    </xf>
    <xf numFmtId="10" fontId="3" fillId="4" borderId="0" xfId="4" applyNumberFormat="1" applyFont="1" applyFill="1" applyBorder="1" applyProtection="1"/>
    <xf numFmtId="0" fontId="3" fillId="4" borderId="6" xfId="4" applyFont="1" applyFill="1" applyBorder="1" applyAlignment="1" applyProtection="1">
      <alignment horizontal="left" vertical="center"/>
    </xf>
    <xf numFmtId="9" fontId="7" fillId="4" borderId="0" xfId="4" applyNumberFormat="1" applyFont="1" applyFill="1" applyBorder="1" applyProtection="1"/>
    <xf numFmtId="0" fontId="3" fillId="5" borderId="3" xfId="4" applyFont="1" applyFill="1" applyBorder="1" applyAlignment="1" applyProtection="1">
      <alignment horizontal="center" vertical="center"/>
    </xf>
    <xf numFmtId="0" fontId="3" fillId="4" borderId="3" xfId="4" applyFont="1" applyFill="1" applyBorder="1" applyAlignment="1" applyProtection="1">
      <alignment horizontal="center" vertical="center"/>
    </xf>
    <xf numFmtId="0" fontId="8" fillId="6" borderId="13" xfId="4" applyFont="1" applyFill="1" applyBorder="1" applyProtection="1"/>
    <xf numFmtId="0" fontId="7" fillId="6" borderId="14" xfId="4" applyFont="1" applyFill="1" applyBorder="1" applyProtection="1"/>
    <xf numFmtId="0" fontId="7" fillId="6" borderId="15" xfId="4" applyFont="1" applyFill="1" applyBorder="1" applyProtection="1"/>
    <xf numFmtId="0" fontId="3" fillId="5" borderId="1" xfId="4" applyFont="1" applyFill="1" applyBorder="1" applyProtection="1"/>
    <xf numFmtId="0" fontId="3" fillId="4" borderId="1" xfId="4" applyFont="1" applyFill="1" applyBorder="1" applyProtection="1"/>
    <xf numFmtId="0" fontId="3" fillId="4" borderId="6" xfId="4" applyFont="1" applyFill="1" applyBorder="1" applyProtection="1"/>
    <xf numFmtId="0" fontId="8" fillId="6" borderId="8" xfId="4" applyFont="1" applyFill="1" applyBorder="1" applyProtection="1"/>
    <xf numFmtId="0" fontId="4" fillId="4" borderId="2" xfId="4" applyFont="1" applyFill="1" applyBorder="1" applyProtection="1"/>
    <xf numFmtId="0" fontId="4" fillId="5" borderId="2" xfId="4" applyFont="1" applyFill="1" applyBorder="1" applyProtection="1"/>
    <xf numFmtId="0" fontId="3" fillId="0" borderId="0" xfId="4" applyFont="1" applyProtection="1"/>
    <xf numFmtId="0" fontId="4" fillId="5" borderId="3" xfId="4" applyFont="1" applyFill="1" applyBorder="1" applyAlignment="1" applyProtection="1">
      <alignment horizontal="center" vertical="center"/>
    </xf>
    <xf numFmtId="0" fontId="4" fillId="5" borderId="6" xfId="4" applyFont="1" applyFill="1" applyBorder="1" applyAlignment="1" applyProtection="1">
      <alignment horizontal="center" vertical="center"/>
    </xf>
    <xf numFmtId="0" fontId="3" fillId="3" borderId="15" xfId="4" applyFont="1" applyFill="1" applyBorder="1" applyAlignment="1" applyProtection="1">
      <alignment horizontal="center" vertical="center"/>
    </xf>
    <xf numFmtId="0" fontId="3" fillId="3" borderId="7" xfId="4" applyFont="1" applyFill="1" applyBorder="1" applyAlignment="1" applyProtection="1">
      <alignment horizontal="center" vertical="center"/>
    </xf>
    <xf numFmtId="0" fontId="4" fillId="0" borderId="2" xfId="4" applyFont="1" applyBorder="1" applyAlignment="1" applyProtection="1">
      <alignment vertical="center"/>
    </xf>
    <xf numFmtId="0" fontId="4" fillId="0" borderId="2" xfId="4" applyFont="1" applyBorder="1" applyAlignment="1" applyProtection="1">
      <alignment horizontal="center" vertical="center"/>
    </xf>
    <xf numFmtId="0" fontId="4" fillId="0" borderId="15" xfId="4" applyFont="1" applyBorder="1" applyAlignment="1" applyProtection="1">
      <alignment horizontal="center" vertical="center"/>
    </xf>
    <xf numFmtId="0" fontId="4" fillId="5" borderId="2" xfId="4" applyFont="1" applyFill="1" applyBorder="1" applyAlignment="1" applyProtection="1">
      <alignment vertical="center"/>
    </xf>
    <xf numFmtId="0" fontId="6" fillId="4" borderId="0" xfId="4" applyFont="1" applyFill="1" applyBorder="1" applyAlignment="1" applyProtection="1">
      <alignment vertical="center"/>
    </xf>
    <xf numFmtId="0" fontId="4" fillId="4" borderId="0" xfId="4" applyFont="1" applyFill="1" applyBorder="1" applyAlignment="1" applyProtection="1">
      <alignment vertical="center"/>
    </xf>
    <xf numFmtId="0" fontId="4" fillId="4" borderId="0" xfId="4" applyFont="1" applyFill="1" applyBorder="1" applyAlignment="1" applyProtection="1"/>
    <xf numFmtId="0" fontId="3" fillId="4" borderId="0" xfId="4" applyFont="1" applyFill="1" applyBorder="1" applyAlignment="1" applyProtection="1">
      <alignment horizontal="center" vertical="center"/>
    </xf>
    <xf numFmtId="0" fontId="4" fillId="4" borderId="0" xfId="4" applyFont="1" applyFill="1" applyBorder="1" applyAlignment="1" applyProtection="1">
      <alignment horizontal="center" vertical="center"/>
    </xf>
    <xf numFmtId="10" fontId="3" fillId="4" borderId="0" xfId="4" applyNumberFormat="1" applyFont="1" applyFill="1" applyBorder="1" applyAlignment="1" applyProtection="1"/>
    <xf numFmtId="0" fontId="37" fillId="4" borderId="0" xfId="0" applyFont="1" applyFill="1" applyBorder="1" applyAlignment="1" applyProtection="1">
      <alignment horizontal="center" vertical="center"/>
    </xf>
    <xf numFmtId="0" fontId="38" fillId="0" borderId="0" xfId="0" applyFont="1" applyProtection="1"/>
    <xf numFmtId="0" fontId="39" fillId="4" borderId="0" xfId="0" applyFont="1" applyFill="1" applyBorder="1" applyAlignment="1" applyProtection="1">
      <alignment horizontal="center" vertical="center" wrapText="1"/>
    </xf>
    <xf numFmtId="0" fontId="35" fillId="3" borderId="31" xfId="0" applyFont="1" applyFill="1" applyBorder="1" applyAlignment="1" applyProtection="1">
      <alignment horizontal="center" wrapText="1"/>
    </xf>
    <xf numFmtId="0" fontId="35" fillId="3" borderId="31" xfId="0" applyFont="1" applyFill="1" applyBorder="1" applyAlignment="1" applyProtection="1">
      <alignment horizontal="center" vertical="center" wrapText="1"/>
    </xf>
    <xf numFmtId="0" fontId="35" fillId="4" borderId="0" xfId="0" applyFont="1" applyFill="1" applyBorder="1" applyAlignment="1" applyProtection="1">
      <alignment horizontal="center" wrapText="1"/>
    </xf>
    <xf numFmtId="0" fontId="40" fillId="4" borderId="2"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3" fontId="35" fillId="4" borderId="0" xfId="0" applyNumberFormat="1" applyFont="1" applyFill="1" applyBorder="1" applyAlignment="1" applyProtection="1">
      <alignment horizontal="center" wrapText="1"/>
    </xf>
    <xf numFmtId="0" fontId="35" fillId="4" borderId="0" xfId="0" applyFont="1" applyFill="1" applyBorder="1" applyAlignment="1" applyProtection="1">
      <alignment wrapText="1"/>
    </xf>
    <xf numFmtId="0" fontId="38" fillId="4" borderId="0" xfId="0" applyFont="1" applyFill="1" applyBorder="1" applyProtection="1"/>
    <xf numFmtId="0" fontId="38" fillId="4" borderId="0" xfId="0" applyFont="1" applyFill="1" applyProtection="1"/>
    <xf numFmtId="0" fontId="21" fillId="0" borderId="0" xfId="5" applyFont="1" applyBorder="1" applyAlignment="1"/>
    <xf numFmtId="0" fontId="21" fillId="0" borderId="0" xfId="5" applyFont="1" applyBorder="1"/>
    <xf numFmtId="0" fontId="18" fillId="0" borderId="0" xfId="5" applyFont="1" applyBorder="1" applyAlignment="1">
      <alignment wrapText="1"/>
    </xf>
    <xf numFmtId="0" fontId="18" fillId="0" borderId="0" xfId="5" applyFont="1" applyBorder="1"/>
    <xf numFmtId="0" fontId="18" fillId="0" borderId="0" xfId="5" applyFont="1" applyBorder="1" applyAlignment="1"/>
    <xf numFmtId="165" fontId="18" fillId="0" borderId="0" xfId="5" applyNumberFormat="1" applyFont="1" applyBorder="1" applyAlignment="1"/>
    <xf numFmtId="6" fontId="18" fillId="0" borderId="0" xfId="5" applyNumberFormat="1" applyFont="1" applyBorder="1" applyAlignment="1"/>
    <xf numFmtId="169" fontId="18" fillId="0" borderId="0" xfId="5" applyNumberFormat="1" applyFont="1" applyBorder="1" applyAlignment="1"/>
    <xf numFmtId="0" fontId="25" fillId="0" borderId="0" xfId="5" applyFont="1" applyBorder="1" applyAlignment="1"/>
    <xf numFmtId="164" fontId="7" fillId="5" borderId="2" xfId="16" applyNumberFormat="1" applyFont="1" applyFill="1" applyBorder="1" applyAlignment="1" applyProtection="1">
      <alignment vertical="center"/>
    </xf>
    <xf numFmtId="172" fontId="7" fillId="7" borderId="16" xfId="1" applyNumberFormat="1" applyFont="1" applyFill="1" applyBorder="1" applyAlignment="1" applyProtection="1">
      <alignment horizontal="right"/>
    </xf>
    <xf numFmtId="172" fontId="7" fillId="7" borderId="17" xfId="1" applyNumberFormat="1" applyFont="1" applyFill="1" applyBorder="1" applyAlignment="1" applyProtection="1">
      <alignment horizontal="right"/>
    </xf>
    <xf numFmtId="172" fontId="7" fillId="7" borderId="2" xfId="1" applyNumberFormat="1" applyFont="1" applyFill="1" applyBorder="1" applyAlignment="1" applyProtection="1">
      <alignment horizontal="right"/>
    </xf>
    <xf numFmtId="3" fontId="7" fillId="4" borderId="13" xfId="4" applyNumberFormat="1" applyFont="1" applyFill="1" applyBorder="1" applyAlignment="1" applyProtection="1">
      <alignment vertical="center"/>
    </xf>
    <xf numFmtId="0" fontId="7" fillId="4" borderId="2" xfId="4" applyFont="1" applyFill="1" applyBorder="1" applyAlignment="1" applyProtection="1">
      <alignment horizontal="left" vertical="center"/>
    </xf>
    <xf numFmtId="2" fontId="7" fillId="4" borderId="10" xfId="4" applyNumberFormat="1" applyFont="1" applyFill="1" applyBorder="1" applyAlignment="1" applyProtection="1">
      <alignment vertical="center"/>
    </xf>
    <xf numFmtId="0" fontId="7" fillId="4" borderId="3" xfId="4" applyFont="1" applyFill="1" applyBorder="1" applyAlignment="1" applyProtection="1">
      <alignment horizontal="left" vertical="center"/>
    </xf>
    <xf numFmtId="0" fontId="41" fillId="4" borderId="3" xfId="4" applyFont="1" applyFill="1" applyBorder="1" applyAlignment="1" applyProtection="1">
      <alignment vertical="center"/>
      <protection locked="0"/>
    </xf>
    <xf numFmtId="0" fontId="41" fillId="4" borderId="2" xfId="4" applyFont="1" applyFill="1" applyBorder="1" applyAlignment="1" applyProtection="1">
      <protection locked="0"/>
    </xf>
    <xf numFmtId="0" fontId="7" fillId="4" borderId="2" xfId="4" applyFont="1" applyFill="1" applyBorder="1" applyAlignment="1" applyProtection="1">
      <alignment horizontal="left"/>
    </xf>
    <xf numFmtId="9" fontId="41" fillId="4" borderId="2" xfId="4" applyNumberFormat="1" applyFont="1" applyFill="1" applyBorder="1" applyAlignment="1" applyProtection="1">
      <alignment vertical="center"/>
      <protection locked="0"/>
    </xf>
    <xf numFmtId="0" fontId="41" fillId="4" borderId="6" xfId="4" applyFont="1" applyFill="1" applyBorder="1" applyAlignment="1" applyProtection="1">
      <alignment vertical="center"/>
      <protection locked="0"/>
    </xf>
    <xf numFmtId="0" fontId="7" fillId="4" borderId="6" xfId="4" applyFont="1" applyFill="1" applyBorder="1" applyAlignment="1" applyProtection="1">
      <alignment horizontal="left"/>
    </xf>
    <xf numFmtId="1" fontId="41" fillId="4" borderId="7" xfId="4" applyNumberFormat="1" applyFont="1" applyFill="1" applyBorder="1" applyAlignment="1" applyProtection="1">
      <protection locked="0"/>
    </xf>
    <xf numFmtId="9" fontId="41" fillId="4" borderId="10" xfId="4" applyNumberFormat="1" applyFont="1" applyFill="1" applyBorder="1" applyAlignment="1" applyProtection="1">
      <protection locked="0"/>
    </xf>
    <xf numFmtId="169" fontId="7" fillId="4" borderId="10" xfId="4" applyNumberFormat="1" applyFont="1" applyFill="1" applyBorder="1" applyAlignment="1" applyProtection="1">
      <alignment vertical="center"/>
    </xf>
    <xf numFmtId="0" fontId="41" fillId="4" borderId="2" xfId="4" applyFont="1" applyFill="1" applyBorder="1" applyAlignment="1" applyProtection="1">
      <alignment vertical="center"/>
      <protection locked="0"/>
    </xf>
    <xf numFmtId="0" fontId="41" fillId="4" borderId="1" xfId="4" applyFont="1" applyFill="1" applyBorder="1" applyAlignment="1" applyProtection="1">
      <alignment vertical="center"/>
      <protection locked="0"/>
    </xf>
    <xf numFmtId="3" fontId="41" fillId="4" borderId="6" xfId="4" applyNumberFormat="1" applyFont="1" applyFill="1" applyBorder="1" applyAlignment="1" applyProtection="1">
      <alignment vertical="center"/>
      <protection locked="0"/>
    </xf>
    <xf numFmtId="0" fontId="7" fillId="5" borderId="8" xfId="4" applyFont="1" applyFill="1" applyBorder="1" applyAlignment="1" applyProtection="1">
      <alignment horizontal="left" vertical="center"/>
    </xf>
    <xf numFmtId="0" fontId="7" fillId="5" borderId="7" xfId="4" applyFont="1" applyFill="1" applyBorder="1" applyAlignment="1" applyProtection="1">
      <alignment horizontal="left" vertical="center"/>
    </xf>
    <xf numFmtId="0" fontId="41" fillId="4" borderId="8" xfId="4" applyFont="1" applyFill="1" applyBorder="1" applyAlignment="1" applyProtection="1">
      <alignment vertical="center"/>
      <protection locked="0"/>
    </xf>
    <xf numFmtId="0" fontId="7" fillId="4" borderId="3" xfId="4" applyFont="1" applyFill="1" applyBorder="1" applyProtection="1"/>
    <xf numFmtId="165" fontId="7" fillId="4" borderId="3" xfId="4" applyNumberFormat="1" applyFont="1" applyFill="1" applyBorder="1" applyProtection="1"/>
    <xf numFmtId="165" fontId="7" fillId="4" borderId="2" xfId="4" applyNumberFormat="1" applyFont="1" applyFill="1" applyBorder="1" applyProtection="1"/>
    <xf numFmtId="165" fontId="7" fillId="4" borderId="2" xfId="4" applyNumberFormat="1" applyFont="1" applyFill="1" applyBorder="1" applyAlignment="1" applyProtection="1">
      <alignment vertical="center"/>
    </xf>
    <xf numFmtId="171" fontId="41" fillId="4" borderId="8" xfId="4" applyNumberFormat="1" applyFont="1" applyFill="1" applyBorder="1" applyAlignment="1" applyProtection="1">
      <alignment vertical="center"/>
      <protection locked="0"/>
    </xf>
    <xf numFmtId="10" fontId="7" fillId="4" borderId="2" xfId="4" applyNumberFormat="1" applyFont="1" applyFill="1" applyBorder="1" applyProtection="1"/>
    <xf numFmtId="3" fontId="7" fillId="4" borderId="2" xfId="4" applyNumberFormat="1" applyFont="1" applyFill="1" applyBorder="1" applyProtection="1"/>
    <xf numFmtId="0" fontId="7" fillId="4" borderId="0" xfId="4" applyFont="1" applyFill="1" applyBorder="1" applyAlignment="1" applyProtection="1">
      <alignment horizontal="left"/>
    </xf>
    <xf numFmtId="165" fontId="7" fillId="4" borderId="6" xfId="4" applyNumberFormat="1" applyFont="1" applyFill="1" applyBorder="1" applyAlignment="1" applyProtection="1">
      <alignment vertical="center"/>
    </xf>
    <xf numFmtId="4" fontId="7" fillId="4" borderId="6" xfId="4" applyNumberFormat="1" applyFont="1" applyFill="1" applyBorder="1" applyAlignment="1" applyProtection="1">
      <alignment vertical="center"/>
    </xf>
    <xf numFmtId="2" fontId="7" fillId="4" borderId="2" xfId="4" applyNumberFormat="1" applyFont="1" applyFill="1" applyBorder="1" applyAlignment="1" applyProtection="1"/>
    <xf numFmtId="4" fontId="7" fillId="4" borderId="2" xfId="4" applyNumberFormat="1" applyFont="1" applyFill="1" applyBorder="1" applyAlignment="1" applyProtection="1"/>
    <xf numFmtId="0" fontId="6" fillId="4" borderId="0" xfId="4" applyFont="1" applyFill="1" applyBorder="1" applyProtection="1"/>
    <xf numFmtId="0" fontId="3" fillId="4" borderId="11" xfId="4" applyFont="1" applyFill="1" applyBorder="1" applyProtection="1"/>
    <xf numFmtId="9" fontId="3" fillId="4" borderId="11" xfId="4" applyNumberFormat="1" applyFont="1" applyFill="1" applyBorder="1" applyAlignment="1" applyProtection="1">
      <alignment horizontal="center" vertical="center"/>
    </xf>
    <xf numFmtId="0" fontId="7" fillId="4" borderId="11" xfId="4" applyFont="1" applyFill="1" applyBorder="1" applyAlignment="1" applyProtection="1">
      <alignment horizontal="center"/>
    </xf>
    <xf numFmtId="10" fontId="3" fillId="4" borderId="11" xfId="4" applyNumberFormat="1" applyFont="1" applyFill="1" applyBorder="1" applyAlignment="1" applyProtection="1">
      <alignment horizontal="center" vertical="center"/>
    </xf>
    <xf numFmtId="0" fontId="7" fillId="4" borderId="11" xfId="4" applyFont="1" applyFill="1" applyBorder="1" applyProtection="1"/>
    <xf numFmtId="3" fontId="7" fillId="4" borderId="0" xfId="4" applyNumberFormat="1" applyFont="1" applyFill="1" applyBorder="1" applyAlignment="1" applyProtection="1">
      <alignment vertical="center"/>
    </xf>
    <xf numFmtId="164" fontId="6" fillId="4" borderId="12" xfId="4" applyNumberFormat="1" applyFont="1" applyFill="1" applyBorder="1" applyAlignment="1" applyProtection="1">
      <alignment horizontal="center" vertical="center"/>
    </xf>
    <xf numFmtId="164" fontId="6" fillId="4" borderId="0" xfId="4" applyNumberFormat="1" applyFont="1" applyFill="1" applyBorder="1" applyAlignment="1" applyProtection="1">
      <alignment horizontal="center" vertical="center"/>
    </xf>
    <xf numFmtId="164" fontId="6" fillId="4" borderId="5" xfId="4" applyNumberFormat="1" applyFont="1" applyFill="1" applyBorder="1" applyAlignment="1" applyProtection="1">
      <alignment horizontal="center" vertical="center"/>
    </xf>
    <xf numFmtId="164" fontId="7" fillId="4" borderId="12" xfId="4" applyNumberFormat="1" applyFont="1" applyFill="1" applyBorder="1" applyAlignment="1" applyProtection="1">
      <alignment horizontal="center" vertical="center"/>
    </xf>
    <xf numFmtId="164" fontId="7" fillId="4" borderId="0" xfId="4" applyNumberFormat="1" applyFont="1" applyFill="1" applyBorder="1" applyAlignment="1" applyProtection="1">
      <alignment horizontal="center" vertical="center"/>
    </xf>
    <xf numFmtId="164" fontId="7" fillId="4" borderId="5" xfId="4" applyNumberFormat="1" applyFont="1" applyFill="1" applyBorder="1" applyAlignment="1" applyProtection="1">
      <alignment horizontal="center" vertical="center"/>
    </xf>
    <xf numFmtId="164" fontId="7" fillId="3" borderId="12" xfId="4" applyNumberFormat="1" applyFont="1" applyFill="1" applyBorder="1" applyAlignment="1" applyProtection="1">
      <alignment horizontal="center" vertical="center"/>
    </xf>
    <xf numFmtId="164" fontId="7" fillId="3" borderId="0" xfId="4" applyNumberFormat="1" applyFont="1" applyFill="1" applyBorder="1" applyAlignment="1" applyProtection="1">
      <alignment horizontal="center" vertical="center"/>
    </xf>
    <xf numFmtId="164" fontId="7" fillId="3" borderId="5" xfId="4" applyNumberFormat="1" applyFont="1" applyFill="1" applyBorder="1" applyAlignment="1" applyProtection="1">
      <alignment horizontal="center" vertical="center"/>
    </xf>
    <xf numFmtId="164" fontId="7" fillId="4" borderId="0" xfId="4" applyNumberFormat="1" applyFont="1" applyFill="1" applyBorder="1" applyAlignment="1" applyProtection="1">
      <alignment horizontal="center"/>
    </xf>
    <xf numFmtId="164" fontId="7" fillId="3" borderId="0" xfId="4" applyNumberFormat="1" applyFont="1" applyFill="1" applyBorder="1" applyAlignment="1" applyProtection="1">
      <alignment horizontal="center"/>
    </xf>
    <xf numFmtId="164" fontId="7" fillId="3" borderId="5" xfId="4" applyNumberFormat="1" applyFont="1" applyFill="1" applyBorder="1" applyAlignment="1" applyProtection="1">
      <alignment horizontal="center"/>
    </xf>
    <xf numFmtId="164" fontId="7" fillId="4" borderId="5" xfId="4" applyNumberFormat="1" applyFont="1" applyFill="1" applyBorder="1" applyAlignment="1" applyProtection="1">
      <alignment horizontal="center"/>
    </xf>
    <xf numFmtId="164" fontId="7" fillId="3" borderId="12" xfId="4" applyNumberFormat="1" applyFont="1" applyFill="1" applyBorder="1" applyAlignment="1" applyProtection="1">
      <alignment horizontal="center"/>
    </xf>
    <xf numFmtId="164" fontId="7" fillId="6" borderId="13" xfId="4" applyNumberFormat="1" applyFont="1" applyFill="1" applyBorder="1" applyAlignment="1" applyProtection="1">
      <alignment horizontal="center"/>
    </xf>
    <xf numFmtId="164" fontId="7" fillId="6" borderId="14" xfId="4" applyNumberFormat="1" applyFont="1" applyFill="1" applyBorder="1" applyAlignment="1" applyProtection="1">
      <alignment horizontal="center"/>
    </xf>
    <xf numFmtId="164" fontId="7" fillId="6" borderId="15" xfId="4" applyNumberFormat="1" applyFont="1" applyFill="1" applyBorder="1" applyAlignment="1" applyProtection="1">
      <alignment horizontal="center"/>
    </xf>
    <xf numFmtId="165" fontId="7" fillId="4" borderId="12" xfId="4" applyNumberFormat="1" applyFont="1" applyFill="1" applyBorder="1" applyAlignment="1" applyProtection="1">
      <alignment horizontal="center" vertical="center"/>
    </xf>
    <xf numFmtId="165" fontId="7" fillId="4" borderId="0" xfId="4" applyNumberFormat="1" applyFont="1" applyFill="1" applyBorder="1" applyAlignment="1" applyProtection="1">
      <alignment horizontal="center" vertical="center"/>
    </xf>
    <xf numFmtId="165" fontId="7" fillId="4" borderId="5" xfId="4" applyNumberFormat="1" applyFont="1" applyFill="1" applyBorder="1" applyAlignment="1" applyProtection="1">
      <alignment horizontal="center" vertical="center"/>
    </xf>
    <xf numFmtId="165" fontId="7" fillId="3" borderId="12" xfId="4" applyNumberFormat="1" applyFont="1" applyFill="1" applyBorder="1" applyAlignment="1" applyProtection="1">
      <alignment horizontal="center" vertical="center"/>
    </xf>
    <xf numFmtId="165" fontId="7" fillId="3" borderId="0" xfId="4" applyNumberFormat="1" applyFont="1" applyFill="1" applyBorder="1" applyAlignment="1" applyProtection="1">
      <alignment horizontal="center" vertical="center"/>
    </xf>
    <xf numFmtId="165" fontId="7" fillId="3" borderId="5" xfId="4" applyNumberFormat="1" applyFont="1" applyFill="1" applyBorder="1" applyAlignment="1" applyProtection="1">
      <alignment horizontal="center" vertical="center"/>
    </xf>
    <xf numFmtId="165" fontId="7" fillId="4" borderId="0" xfId="4" applyNumberFormat="1" applyFont="1" applyFill="1" applyBorder="1" applyAlignment="1" applyProtection="1">
      <alignment horizontal="center"/>
    </xf>
    <xf numFmtId="166" fontId="38" fillId="4" borderId="2" xfId="4" applyNumberFormat="1" applyFont="1" applyFill="1" applyBorder="1" applyAlignment="1" applyProtection="1"/>
    <xf numFmtId="165" fontId="7" fillId="3" borderId="0" xfId="4" applyNumberFormat="1" applyFont="1" applyFill="1" applyBorder="1" applyAlignment="1" applyProtection="1">
      <alignment horizontal="center"/>
    </xf>
    <xf numFmtId="165" fontId="7" fillId="3" borderId="5" xfId="4" applyNumberFormat="1" applyFont="1" applyFill="1" applyBorder="1" applyAlignment="1" applyProtection="1">
      <alignment horizontal="center"/>
    </xf>
    <xf numFmtId="165" fontId="7" fillId="4" borderId="5" xfId="4" applyNumberFormat="1" applyFont="1" applyFill="1" applyBorder="1" applyAlignment="1" applyProtection="1">
      <alignment horizontal="center"/>
    </xf>
    <xf numFmtId="165" fontId="7" fillId="3" borderId="12" xfId="4" applyNumberFormat="1" applyFont="1" applyFill="1" applyBorder="1" applyAlignment="1" applyProtection="1">
      <alignment horizontal="center"/>
    </xf>
    <xf numFmtId="0" fontId="7" fillId="4" borderId="0" xfId="4" applyFont="1" applyFill="1" applyBorder="1" applyAlignment="1" applyProtection="1">
      <alignment wrapText="1"/>
    </xf>
    <xf numFmtId="0" fontId="13" fillId="9" borderId="0" xfId="0" applyFont="1" applyFill="1" applyBorder="1" applyAlignment="1" applyProtection="1">
      <alignment vertical="center"/>
    </xf>
    <xf numFmtId="0" fontId="13" fillId="0" borderId="0" xfId="0" applyFont="1" applyFill="1" applyBorder="1" applyAlignment="1" applyProtection="1">
      <alignment vertical="center"/>
    </xf>
    <xf numFmtId="0" fontId="17" fillId="0" borderId="0" xfId="0" applyFont="1" applyFill="1" applyBorder="1" applyAlignment="1" applyProtection="1">
      <alignment horizontal="left" vertical="center"/>
    </xf>
    <xf numFmtId="0" fontId="17" fillId="0" borderId="0" xfId="5" applyFont="1" applyFill="1" applyBorder="1" applyAlignment="1" applyProtection="1">
      <alignment horizontal="left" vertical="center"/>
    </xf>
    <xf numFmtId="0" fontId="18" fillId="0" borderId="0" xfId="5" applyFont="1" applyAlignment="1" applyProtection="1"/>
    <xf numFmtId="0" fontId="16" fillId="0" borderId="0" xfId="5" applyFont="1" applyProtection="1"/>
    <xf numFmtId="0" fontId="19" fillId="0" borderId="0" xfId="5" applyFont="1" applyAlignment="1" applyProtection="1"/>
    <xf numFmtId="0" fontId="20" fillId="0" borderId="0" xfId="5" applyFont="1" applyAlignment="1" applyProtection="1"/>
    <xf numFmtId="0" fontId="18" fillId="0" borderId="0" xfId="0" applyFont="1" applyAlignment="1" applyProtection="1"/>
    <xf numFmtId="0" fontId="18" fillId="0" borderId="0" xfId="0" applyFont="1" applyProtection="1"/>
    <xf numFmtId="0" fontId="21" fillId="0" borderId="0" xfId="5" applyFont="1" applyAlignment="1" applyProtection="1"/>
    <xf numFmtId="49" fontId="7" fillId="0" borderId="0" xfId="1" applyNumberFormat="1" applyFont="1" applyFill="1" applyBorder="1" applyAlignment="1" applyProtection="1">
      <alignment horizontal="right"/>
    </xf>
    <xf numFmtId="0" fontId="16" fillId="0" borderId="0" xfId="5" applyFont="1" applyAlignment="1" applyProtection="1"/>
    <xf numFmtId="0" fontId="16" fillId="0" borderId="0" xfId="0" applyFont="1" applyBorder="1" applyProtection="1"/>
    <xf numFmtId="0" fontId="21" fillId="0" borderId="0" xfId="0" applyFont="1" applyAlignment="1" applyProtection="1"/>
    <xf numFmtId="0" fontId="16" fillId="0" borderId="0" xfId="0" applyFont="1" applyProtection="1"/>
    <xf numFmtId="0" fontId="16" fillId="0" borderId="0" xfId="5" applyFont="1" applyFill="1" applyBorder="1" applyProtection="1"/>
    <xf numFmtId="0" fontId="19" fillId="0" borderId="0" xfId="5" applyFont="1" applyFill="1" applyBorder="1" applyAlignment="1" applyProtection="1">
      <alignment horizontal="right"/>
    </xf>
    <xf numFmtId="0" fontId="26" fillId="0" borderId="0" xfId="5" applyFont="1" applyAlignment="1" applyProtection="1">
      <alignment horizontal="right"/>
    </xf>
    <xf numFmtId="0" fontId="20" fillId="0" borderId="0" xfId="15" applyFont="1" applyBorder="1" applyAlignment="1" applyProtection="1">
      <alignment vertical="center"/>
    </xf>
    <xf numFmtId="0" fontId="20" fillId="0" borderId="0" xfId="5" applyFont="1" applyAlignment="1" applyProtection="1">
      <alignment horizontal="left" vertical="center"/>
    </xf>
    <xf numFmtId="0" fontId="20" fillId="0" borderId="0" xfId="0" applyFont="1" applyBorder="1" applyAlignment="1" applyProtection="1">
      <alignment horizontal="left" vertical="center"/>
    </xf>
    <xf numFmtId="0" fontId="16" fillId="0" borderId="0" xfId="0" applyFont="1" applyAlignment="1" applyProtection="1">
      <alignment vertical="center"/>
    </xf>
    <xf numFmtId="0" fontId="16" fillId="0" borderId="0" xfId="5" applyFont="1" applyFill="1" applyBorder="1" applyAlignment="1" applyProtection="1"/>
    <xf numFmtId="0" fontId="0" fillId="0" borderId="0" xfId="0" applyProtection="1"/>
    <xf numFmtId="0" fontId="16" fillId="0" borderId="0" xfId="5" applyFont="1" applyAlignment="1" applyProtection="1">
      <alignment horizontal="center"/>
    </xf>
    <xf numFmtId="0" fontId="16" fillId="0" borderId="0" xfId="0" applyFont="1" applyBorder="1" applyAlignment="1" applyProtection="1">
      <alignment horizontal="center"/>
    </xf>
    <xf numFmtId="0" fontId="16" fillId="0" borderId="0" xfId="15" applyFont="1" applyBorder="1" applyAlignment="1" applyProtection="1">
      <alignment vertical="center"/>
    </xf>
    <xf numFmtId="0" fontId="27" fillId="0" borderId="0" xfId="5" applyFont="1" applyFill="1" applyBorder="1" applyAlignment="1" applyProtection="1"/>
    <xf numFmtId="49" fontId="7" fillId="2" borderId="0" xfId="1" applyNumberFormat="1" applyFont="1" applyFill="1" applyBorder="1" applyAlignment="1" applyProtection="1">
      <alignment horizontal="right"/>
    </xf>
    <xf numFmtId="0" fontId="22" fillId="0" borderId="0" xfId="15" applyFont="1" applyBorder="1" applyAlignment="1" applyProtection="1">
      <alignment vertical="center"/>
    </xf>
    <xf numFmtId="0" fontId="1" fillId="0" borderId="0" xfId="15" applyFont="1" applyProtection="1"/>
    <xf numFmtId="0" fontId="23" fillId="0" borderId="0" xfId="15" applyFont="1" applyBorder="1" applyAlignment="1" applyProtection="1">
      <alignment horizontal="right" vertical="center"/>
    </xf>
    <xf numFmtId="0" fontId="16" fillId="0" borderId="0" xfId="15" applyFont="1" applyFill="1" applyBorder="1" applyAlignment="1" applyProtection="1">
      <alignment vertical="center"/>
    </xf>
    <xf numFmtId="0" fontId="20" fillId="0" borderId="0" xfId="15" applyFont="1" applyFill="1" applyBorder="1" applyAlignment="1" applyProtection="1">
      <alignment horizontal="right" vertical="center"/>
    </xf>
    <xf numFmtId="0" fontId="26" fillId="0" borderId="0" xfId="15" applyFont="1" applyBorder="1" applyAlignment="1" applyProtection="1">
      <alignment horizontal="right" vertical="center"/>
    </xf>
    <xf numFmtId="0" fontId="27" fillId="0" borderId="0" xfId="0" applyFont="1" applyProtection="1"/>
    <xf numFmtId="0" fontId="16" fillId="4" borderId="0" xfId="5" applyNumberFormat="1" applyFont="1" applyFill="1" applyBorder="1" applyAlignment="1" applyProtection="1">
      <alignment horizontal="right"/>
    </xf>
    <xf numFmtId="0" fontId="19" fillId="0" borderId="0" xfId="5" applyFont="1" applyProtection="1"/>
    <xf numFmtId="0" fontId="26" fillId="0" borderId="0" xfId="4" applyFont="1" applyAlignment="1" applyProtection="1">
      <alignment horizontal="right"/>
    </xf>
    <xf numFmtId="0" fontId="18" fillId="4" borderId="0" xfId="5" applyFont="1" applyFill="1" applyBorder="1" applyProtection="1"/>
    <xf numFmtId="0" fontId="16" fillId="0" borderId="0" xfId="5" applyFont="1" applyBorder="1" applyProtection="1"/>
    <xf numFmtId="0" fontId="19" fillId="0" borderId="0" xfId="5" applyFont="1" applyBorder="1" applyAlignment="1" applyProtection="1">
      <alignment horizontal="right"/>
    </xf>
    <xf numFmtId="49" fontId="16" fillId="0" borderId="0" xfId="5" applyNumberFormat="1" applyFont="1" applyBorder="1" applyAlignment="1" applyProtection="1">
      <alignment horizontal="right"/>
    </xf>
    <xf numFmtId="0" fontId="19" fillId="0" borderId="0" xfId="5" applyFont="1" applyBorder="1" applyProtection="1"/>
    <xf numFmtId="0" fontId="18" fillId="0" borderId="0" xfId="5" applyFont="1" applyAlignment="1" applyProtection="1">
      <alignment horizontal="right" vertical="top"/>
    </xf>
    <xf numFmtId="0" fontId="19" fillId="0" borderId="0" xfId="5" applyFont="1" applyAlignment="1" applyProtection="1">
      <alignment horizontal="right"/>
    </xf>
    <xf numFmtId="44" fontId="16" fillId="0" borderId="0" xfId="5" applyNumberFormat="1" applyFont="1" applyFill="1" applyBorder="1" applyAlignment="1" applyProtection="1"/>
    <xf numFmtId="0" fontId="21" fillId="0" borderId="0" xfId="5" applyFont="1" applyProtection="1"/>
    <xf numFmtId="0" fontId="16" fillId="0" borderId="0" xfId="5" applyFont="1" applyAlignment="1" applyProtection="1">
      <alignment horizontal="center" vertical="center"/>
    </xf>
    <xf numFmtId="0" fontId="23" fillId="0" borderId="0" xfId="5" applyFont="1" applyAlignment="1" applyProtection="1">
      <alignment horizontal="left" vertical="top" wrapText="1"/>
    </xf>
    <xf numFmtId="0" fontId="20" fillId="0" borderId="0" xfId="5" applyFont="1" applyAlignment="1" applyProtection="1">
      <alignment horizontal="center" vertical="center"/>
    </xf>
    <xf numFmtId="0" fontId="18" fillId="0" borderId="0" xfId="5" applyFont="1" applyProtection="1"/>
    <xf numFmtId="0" fontId="27" fillId="0" borderId="0" xfId="5" applyFont="1" applyProtection="1"/>
    <xf numFmtId="0" fontId="23" fillId="0" borderId="0" xfId="5" applyFont="1" applyAlignment="1" applyProtection="1">
      <alignment vertical="top" wrapText="1"/>
    </xf>
    <xf numFmtId="0" fontId="20" fillId="0" borderId="0" xfId="5" applyFont="1" applyAlignment="1" applyProtection="1">
      <alignment vertical="center"/>
    </xf>
    <xf numFmtId="0" fontId="18" fillId="0" borderId="0" xfId="5" applyFont="1" applyFill="1" applyBorder="1" applyProtection="1"/>
    <xf numFmtId="0" fontId="26" fillId="0" borderId="0" xfId="5" applyFont="1" applyAlignment="1" applyProtection="1">
      <alignment horizontal="left"/>
    </xf>
    <xf numFmtId="0" fontId="23" fillId="0" borderId="0" xfId="5" applyFont="1" applyAlignment="1" applyProtection="1">
      <alignment horizontal="left" vertical="center"/>
    </xf>
    <xf numFmtId="0" fontId="20" fillId="0" borderId="0" xfId="5" applyFont="1" applyProtection="1"/>
    <xf numFmtId="0" fontId="16" fillId="0" borderId="0" xfId="5" applyFont="1" applyAlignment="1" applyProtection="1">
      <alignment horizontal="left"/>
    </xf>
    <xf numFmtId="0" fontId="20" fillId="0" borderId="0" xfId="5" applyFont="1" applyAlignment="1" applyProtection="1">
      <alignment vertical="top" wrapText="1"/>
    </xf>
    <xf numFmtId="0" fontId="24" fillId="0" borderId="0" xfId="5" applyFont="1" applyAlignment="1" applyProtection="1">
      <alignment horizontal="right"/>
    </xf>
    <xf numFmtId="0" fontId="21" fillId="0" borderId="0" xfId="5" applyFont="1" applyFill="1" applyBorder="1" applyAlignment="1" applyProtection="1"/>
    <xf numFmtId="0" fontId="18" fillId="0" borderId="0" xfId="5" applyFont="1" applyFill="1" applyBorder="1" applyAlignment="1" applyProtection="1"/>
    <xf numFmtId="0" fontId="20" fillId="0" borderId="0" xfId="5" applyFont="1" applyAlignment="1" applyProtection="1">
      <alignment horizontal="left" vertical="top" wrapText="1"/>
    </xf>
    <xf numFmtId="0" fontId="9" fillId="4" borderId="10" xfId="4" applyFont="1" applyFill="1" applyBorder="1" applyAlignment="1" applyProtection="1">
      <alignment horizontal="center" vertical="center"/>
    </xf>
    <xf numFmtId="0" fontId="4" fillId="4" borderId="1" xfId="4" applyFont="1" applyFill="1" applyBorder="1" applyAlignment="1" applyProtection="1">
      <alignment horizontal="left"/>
    </xf>
    <xf numFmtId="168" fontId="3" fillId="5" borderId="12" xfId="4" applyNumberFormat="1" applyFont="1" applyFill="1" applyBorder="1" applyAlignment="1" applyProtection="1">
      <alignment horizontal="center" vertical="center"/>
    </xf>
    <xf numFmtId="168" fontId="3" fillId="5" borderId="0" xfId="4" applyNumberFormat="1" applyFont="1" applyFill="1" applyBorder="1" applyAlignment="1" applyProtection="1">
      <alignment horizontal="center" vertical="center"/>
    </xf>
    <xf numFmtId="168" fontId="3" fillId="5" borderId="5" xfId="4" applyNumberFormat="1" applyFont="1" applyFill="1" applyBorder="1" applyAlignment="1" applyProtection="1">
      <alignment horizontal="center" vertical="center"/>
    </xf>
    <xf numFmtId="164" fontId="36" fillId="3" borderId="2" xfId="4" applyNumberFormat="1" applyFont="1" applyFill="1" applyBorder="1" applyAlignment="1" applyProtection="1">
      <alignment horizontal="center" vertical="center"/>
      <protection locked="0"/>
    </xf>
    <xf numFmtId="0" fontId="42" fillId="0" borderId="0" xfId="0" applyFont="1" applyAlignment="1">
      <alignment horizontal="left" wrapText="1"/>
    </xf>
    <xf numFmtId="0" fontId="18" fillId="0" borderId="11" xfId="5" applyFont="1" applyBorder="1" applyAlignment="1">
      <alignment horizontal="center"/>
    </xf>
    <xf numFmtId="0" fontId="18" fillId="0" borderId="28" xfId="5" applyFont="1" applyBorder="1" applyAlignment="1">
      <alignment horizontal="center"/>
    </xf>
    <xf numFmtId="0" fontId="18" fillId="0" borderId="27" xfId="5" applyFont="1" applyBorder="1" applyAlignment="1">
      <alignment horizontal="center"/>
    </xf>
    <xf numFmtId="165" fontId="18" fillId="0" borderId="21" xfId="5" applyNumberFormat="1" applyFont="1" applyBorder="1" applyAlignment="1">
      <alignment horizontal="center"/>
    </xf>
    <xf numFmtId="165" fontId="18" fillId="0" borderId="22" xfId="5" applyNumberFormat="1" applyFont="1" applyBorder="1" applyAlignment="1">
      <alignment horizontal="center"/>
    </xf>
    <xf numFmtId="0" fontId="18" fillId="0" borderId="0" xfId="5" applyFont="1" applyAlignment="1">
      <alignment horizontal="left" wrapText="1"/>
    </xf>
    <xf numFmtId="0" fontId="25" fillId="0" borderId="18" xfId="5" applyFont="1" applyBorder="1" applyAlignment="1">
      <alignment horizontal="left"/>
    </xf>
    <xf numFmtId="0" fontId="18" fillId="0" borderId="19" xfId="5" applyFont="1" applyBorder="1" applyAlignment="1">
      <alignment horizontal="center"/>
    </xf>
    <xf numFmtId="0" fontId="18" fillId="0" borderId="9" xfId="5" applyFont="1" applyBorder="1" applyAlignment="1">
      <alignment horizontal="center"/>
    </xf>
    <xf numFmtId="0" fontId="18" fillId="0" borderId="20" xfId="5" applyFont="1" applyBorder="1" applyAlignment="1">
      <alignment horizontal="center"/>
    </xf>
    <xf numFmtId="6" fontId="18" fillId="0" borderId="22" xfId="5" applyNumberFormat="1" applyFont="1" applyBorder="1" applyAlignment="1">
      <alignment horizontal="center"/>
    </xf>
    <xf numFmtId="0" fontId="21" fillId="0" borderId="0" xfId="5" applyFont="1" applyAlignment="1">
      <alignment horizontal="center"/>
    </xf>
    <xf numFmtId="169" fontId="18" fillId="0" borderId="22" xfId="5" applyNumberFormat="1" applyFont="1" applyBorder="1" applyAlignment="1">
      <alignment horizontal="center"/>
    </xf>
    <xf numFmtId="169" fontId="18" fillId="0" borderId="23" xfId="5" applyNumberFormat="1" applyFont="1" applyBorder="1" applyAlignment="1">
      <alignment horizontal="center"/>
    </xf>
    <xf numFmtId="0" fontId="21" fillId="0" borderId="24" xfId="5" applyFont="1" applyBorder="1" applyAlignment="1">
      <alignment horizontal="center"/>
    </xf>
    <xf numFmtId="0" fontId="21" fillId="0" borderId="25" xfId="5" applyFont="1" applyBorder="1" applyAlignment="1">
      <alignment horizontal="center"/>
    </xf>
    <xf numFmtId="0" fontId="21" fillId="0" borderId="26" xfId="5" applyFont="1" applyBorder="1" applyAlignment="1">
      <alignment horizontal="center"/>
    </xf>
    <xf numFmtId="0" fontId="25" fillId="0" borderId="0" xfId="5" applyFont="1" applyBorder="1" applyAlignment="1">
      <alignment horizontal="center" wrapText="1"/>
    </xf>
    <xf numFmtId="0" fontId="16" fillId="4" borderId="0" xfId="5" applyFont="1" applyFill="1" applyBorder="1" applyAlignment="1" applyProtection="1">
      <alignment horizontal="left" wrapText="1"/>
    </xf>
    <xf numFmtId="0" fontId="16" fillId="0" borderId="0" xfId="5" applyFont="1" applyAlignment="1" applyProtection="1">
      <alignment horizontal="left" wrapText="1"/>
    </xf>
    <xf numFmtId="0" fontId="13" fillId="10" borderId="13" xfId="5" applyFont="1" applyFill="1" applyBorder="1" applyAlignment="1" applyProtection="1">
      <alignment horizontal="left" vertical="center" indent="1"/>
    </xf>
    <xf numFmtId="0" fontId="13" fillId="10" borderId="14" xfId="5" applyFont="1" applyFill="1" applyBorder="1" applyAlignment="1" applyProtection="1">
      <alignment horizontal="left" vertical="center" indent="1"/>
    </xf>
    <xf numFmtId="0" fontId="13" fillId="10" borderId="15" xfId="5" applyFont="1" applyFill="1" applyBorder="1" applyAlignment="1" applyProtection="1">
      <alignment horizontal="left" vertical="center" indent="1"/>
    </xf>
    <xf numFmtId="0" fontId="23" fillId="0" borderId="0" xfId="5" applyFont="1" applyAlignment="1" applyProtection="1">
      <alignment vertical="top"/>
    </xf>
    <xf numFmtId="0" fontId="16" fillId="0" borderId="0" xfId="5" applyFont="1" applyAlignment="1" applyProtection="1">
      <alignment vertical="top"/>
    </xf>
    <xf numFmtId="0" fontId="23" fillId="0" borderId="0" xfId="5" applyFont="1" applyAlignment="1" applyProtection="1">
      <alignment horizontal="left" vertical="top" wrapText="1"/>
    </xf>
    <xf numFmtId="0" fontId="23" fillId="0" borderId="0" xfId="15" applyFont="1" applyFill="1" applyBorder="1" applyAlignment="1" applyProtection="1">
      <alignment horizontal="left" vertical="top" wrapText="1"/>
    </xf>
    <xf numFmtId="170" fontId="6" fillId="6" borderId="13" xfId="4" applyNumberFormat="1" applyFont="1" applyFill="1" applyBorder="1" applyAlignment="1" applyProtection="1">
      <alignment horizontal="center"/>
    </xf>
    <xf numFmtId="170" fontId="6" fillId="6" borderId="14" xfId="4" applyNumberFormat="1" applyFont="1" applyFill="1" applyBorder="1" applyAlignment="1" applyProtection="1">
      <alignment horizontal="center"/>
    </xf>
    <xf numFmtId="170" fontId="6" fillId="6" borderId="15" xfId="4" applyNumberFormat="1" applyFont="1" applyFill="1" applyBorder="1" applyAlignment="1" applyProtection="1">
      <alignment horizontal="center"/>
    </xf>
    <xf numFmtId="0" fontId="6" fillId="3" borderId="3" xfId="4" applyFont="1" applyFill="1" applyBorder="1" applyAlignment="1" applyProtection="1">
      <alignment horizontal="left"/>
    </xf>
    <xf numFmtId="0" fontId="6" fillId="3" borderId="6" xfId="4" applyFont="1" applyFill="1" applyBorder="1" applyAlignment="1" applyProtection="1">
      <alignment horizontal="left"/>
    </xf>
    <xf numFmtId="0" fontId="8" fillId="5" borderId="2" xfId="4" applyFont="1" applyFill="1" applyBorder="1" applyAlignment="1" applyProtection="1">
      <alignment horizontal="center" vertical="center"/>
    </xf>
    <xf numFmtId="0" fontId="14" fillId="6" borderId="2" xfId="4" applyFont="1" applyFill="1" applyBorder="1" applyAlignment="1" applyProtection="1">
      <alignment horizontal="center" vertical="center"/>
    </xf>
    <xf numFmtId="165" fontId="6" fillId="6" borderId="13" xfId="4" applyNumberFormat="1" applyFont="1" applyFill="1" applyBorder="1" applyAlignment="1" applyProtection="1">
      <alignment horizontal="center"/>
    </xf>
    <xf numFmtId="165" fontId="6" fillId="6" borderId="14" xfId="4" applyNumberFormat="1" applyFont="1" applyFill="1" applyBorder="1" applyAlignment="1" applyProtection="1">
      <alignment horizontal="center"/>
    </xf>
    <xf numFmtId="165" fontId="6" fillId="6" borderId="15" xfId="4" applyNumberFormat="1" applyFont="1" applyFill="1" applyBorder="1" applyAlignment="1" applyProtection="1">
      <alignment horizontal="center"/>
    </xf>
    <xf numFmtId="0" fontId="43" fillId="11" borderId="2" xfId="4" applyFont="1" applyFill="1" applyBorder="1" applyAlignment="1" applyProtection="1">
      <alignment horizontal="left" vertical="center"/>
    </xf>
    <xf numFmtId="0" fontId="7" fillId="5" borderId="6" xfId="4" applyFont="1" applyFill="1" applyBorder="1" applyAlignment="1" applyProtection="1">
      <alignment horizontal="left" vertical="center"/>
    </xf>
    <xf numFmtId="0" fontId="7" fillId="4" borderId="0" xfId="4" applyFont="1" applyFill="1" applyBorder="1" applyAlignment="1" applyProtection="1">
      <alignment horizontal="left"/>
    </xf>
    <xf numFmtId="0" fontId="7" fillId="5" borderId="13" xfId="4" applyFont="1" applyFill="1" applyBorder="1" applyAlignment="1" applyProtection="1">
      <alignment horizontal="left" vertical="center"/>
    </xf>
    <xf numFmtId="0" fontId="7" fillId="5" borderId="14" xfId="4" applyFont="1" applyFill="1" applyBorder="1" applyAlignment="1" applyProtection="1">
      <alignment horizontal="left" vertical="center"/>
    </xf>
    <xf numFmtId="0" fontId="7" fillId="5" borderId="15" xfId="4" applyFont="1" applyFill="1" applyBorder="1" applyAlignment="1" applyProtection="1">
      <alignment horizontal="left" vertical="center"/>
    </xf>
    <xf numFmtId="0" fontId="7" fillId="5" borderId="6" xfId="4" applyFont="1" applyFill="1" applyBorder="1" applyAlignment="1" applyProtection="1">
      <alignment horizontal="left"/>
    </xf>
    <xf numFmtId="0" fontId="7" fillId="5" borderId="2" xfId="4" applyFont="1" applyFill="1" applyBorder="1" applyAlignment="1" applyProtection="1">
      <alignment horizontal="left" vertical="center"/>
    </xf>
    <xf numFmtId="0" fontId="7" fillId="5" borderId="3" xfId="4" applyFont="1" applyFill="1" applyBorder="1" applyAlignment="1" applyProtection="1">
      <alignment horizontal="left"/>
    </xf>
    <xf numFmtId="0" fontId="7" fillId="5" borderId="3" xfId="4" applyFont="1" applyFill="1" applyBorder="1" applyAlignment="1" applyProtection="1">
      <alignment horizontal="left" vertical="center"/>
    </xf>
    <xf numFmtId="0" fontId="7" fillId="5" borderId="2" xfId="4" applyFont="1" applyFill="1" applyBorder="1" applyAlignment="1" applyProtection="1">
      <alignment horizontal="left"/>
    </xf>
    <xf numFmtId="0" fontId="7" fillId="5" borderId="1" xfId="4" applyFont="1" applyFill="1" applyBorder="1" applyAlignment="1" applyProtection="1">
      <alignment horizontal="left" vertical="center"/>
    </xf>
    <xf numFmtId="0" fontId="41" fillId="4" borderId="13" xfId="4" applyFont="1" applyFill="1" applyBorder="1" applyAlignment="1" applyProtection="1">
      <alignment horizontal="center" vertical="center"/>
      <protection locked="0"/>
    </xf>
    <xf numFmtId="0" fontId="41" fillId="4" borderId="15" xfId="4" applyFont="1" applyFill="1" applyBorder="1" applyAlignment="1" applyProtection="1">
      <alignment horizontal="center" vertical="center"/>
      <protection locked="0"/>
    </xf>
    <xf numFmtId="0" fontId="14" fillId="11" borderId="2" xfId="4" applyFont="1" applyFill="1" applyBorder="1" applyAlignment="1" applyProtection="1">
      <alignment horizontal="center"/>
    </xf>
    <xf numFmtId="0" fontId="41" fillId="4" borderId="8" xfId="4" applyFont="1" applyFill="1" applyBorder="1" applyAlignment="1" applyProtection="1">
      <alignment horizontal="center" vertical="center"/>
      <protection locked="0"/>
    </xf>
    <xf numFmtId="0" fontId="41" fillId="4" borderId="7" xfId="4" applyFont="1" applyFill="1" applyBorder="1" applyAlignment="1" applyProtection="1">
      <alignment horizontal="center" vertical="center"/>
      <protection locked="0"/>
    </xf>
    <xf numFmtId="0" fontId="7" fillId="5" borderId="8" xfId="4" applyFont="1" applyFill="1" applyBorder="1" applyAlignment="1" applyProtection="1">
      <alignment horizontal="left" vertical="center"/>
    </xf>
    <xf numFmtId="0" fontId="7" fillId="5" borderId="9" xfId="4" applyFont="1" applyFill="1" applyBorder="1" applyAlignment="1" applyProtection="1">
      <alignment horizontal="left" vertical="center"/>
    </xf>
    <xf numFmtId="0" fontId="7" fillId="5" borderId="7" xfId="4" applyFont="1" applyFill="1" applyBorder="1" applyAlignment="1" applyProtection="1">
      <alignment horizontal="left" vertical="center"/>
    </xf>
    <xf numFmtId="0" fontId="7" fillId="5" borderId="13" xfId="4" applyFont="1" applyFill="1" applyBorder="1" applyAlignment="1" applyProtection="1">
      <alignment horizontal="left"/>
    </xf>
    <xf numFmtId="0" fontId="7" fillId="5" borderId="15" xfId="4" applyFont="1" applyFill="1" applyBorder="1" applyAlignment="1" applyProtection="1">
      <alignment horizontal="left"/>
    </xf>
    <xf numFmtId="0" fontId="7" fillId="4" borderId="0" xfId="4" applyFont="1" applyFill="1" applyBorder="1" applyAlignment="1" applyProtection="1">
      <alignment horizontal="left" vertical="top" wrapText="1"/>
    </xf>
    <xf numFmtId="0" fontId="41" fillId="4" borderId="2" xfId="4" applyFont="1" applyFill="1" applyBorder="1" applyAlignment="1" applyProtection="1">
      <alignment horizontal="center" vertical="center"/>
      <protection locked="0"/>
    </xf>
    <xf numFmtId="0" fontId="8" fillId="6" borderId="13" xfId="4" applyFont="1" applyFill="1" applyBorder="1" applyAlignment="1" applyProtection="1">
      <alignment horizontal="center" vertical="center"/>
    </xf>
    <xf numFmtId="0" fontId="8" fillId="6" borderId="14" xfId="4" applyFont="1" applyFill="1" applyBorder="1" applyAlignment="1" applyProtection="1">
      <alignment horizontal="center" vertical="center"/>
    </xf>
    <xf numFmtId="0" fontId="8" fillId="6" borderId="15" xfId="4" applyFont="1" applyFill="1" applyBorder="1" applyAlignment="1" applyProtection="1">
      <alignment horizontal="center" vertical="center"/>
    </xf>
    <xf numFmtId="0" fontId="7" fillId="5" borderId="3" xfId="4" applyFont="1" applyFill="1" applyBorder="1" applyAlignment="1" applyProtection="1">
      <alignment horizontal="center"/>
    </xf>
    <xf numFmtId="0" fontId="7" fillId="5" borderId="1" xfId="4" applyFont="1" applyFill="1" applyBorder="1" applyAlignment="1" applyProtection="1">
      <alignment horizontal="center"/>
    </xf>
    <xf numFmtId="0" fontId="7" fillId="5" borderId="10" xfId="4" applyFont="1" applyFill="1" applyBorder="1" applyAlignment="1" applyProtection="1">
      <alignment horizontal="left"/>
    </xf>
    <xf numFmtId="0" fontId="7" fillId="5" borderId="4" xfId="4" applyFont="1" applyFill="1" applyBorder="1" applyAlignment="1" applyProtection="1">
      <alignment horizontal="left"/>
    </xf>
    <xf numFmtId="0" fontId="4" fillId="5" borderId="2" xfId="4" applyFont="1" applyFill="1" applyBorder="1" applyAlignment="1" applyProtection="1">
      <alignment horizontal="left" vertical="center"/>
    </xf>
    <xf numFmtId="0" fontId="36" fillId="3" borderId="13" xfId="4" applyFont="1" applyFill="1" applyBorder="1" applyAlignment="1" applyProtection="1">
      <alignment horizontal="center" vertical="center"/>
      <protection locked="0"/>
    </xf>
    <xf numFmtId="0" fontId="36" fillId="3" borderId="14" xfId="4" applyFont="1" applyFill="1" applyBorder="1" applyAlignment="1" applyProtection="1">
      <alignment horizontal="center" vertical="center"/>
      <protection locked="0"/>
    </xf>
    <xf numFmtId="0" fontId="36" fillId="3" borderId="15" xfId="4" applyFont="1" applyFill="1" applyBorder="1" applyAlignment="1" applyProtection="1">
      <alignment horizontal="center" vertical="center"/>
      <protection locked="0"/>
    </xf>
    <xf numFmtId="0" fontId="3" fillId="0" borderId="11" xfId="4" applyFont="1" applyBorder="1" applyAlignment="1" applyProtection="1">
      <alignment horizontal="left"/>
    </xf>
    <xf numFmtId="0" fontId="4" fillId="5" borderId="1" xfId="4" applyFont="1" applyFill="1" applyBorder="1" applyAlignment="1" applyProtection="1">
      <alignment horizontal="center" vertical="center"/>
    </xf>
    <xf numFmtId="0" fontId="4" fillId="5" borderId="6" xfId="4" applyFont="1" applyFill="1" applyBorder="1" applyAlignment="1" applyProtection="1">
      <alignment horizontal="center" vertical="center"/>
    </xf>
    <xf numFmtId="0" fontId="6" fillId="6" borderId="13" xfId="4" applyFont="1" applyFill="1" applyBorder="1" applyAlignment="1" applyProtection="1">
      <alignment horizontal="center" vertical="center"/>
    </xf>
    <xf numFmtId="0" fontId="6" fillId="6" borderId="14" xfId="4" applyFont="1" applyFill="1" applyBorder="1" applyAlignment="1" applyProtection="1">
      <alignment horizontal="center" vertical="center"/>
    </xf>
    <xf numFmtId="0" fontId="6" fillId="6" borderId="15" xfId="4" applyFont="1" applyFill="1" applyBorder="1" applyAlignment="1" applyProtection="1">
      <alignment horizontal="center" vertical="center"/>
    </xf>
    <xf numFmtId="0" fontId="4" fillId="5" borderId="1" xfId="4" applyFont="1" applyFill="1" applyBorder="1" applyAlignment="1" applyProtection="1">
      <alignment horizontal="left" vertical="center"/>
    </xf>
    <xf numFmtId="0" fontId="4" fillId="5" borderId="6" xfId="4" applyFont="1" applyFill="1" applyBorder="1" applyAlignment="1" applyProtection="1">
      <alignment horizontal="left" vertical="center"/>
    </xf>
    <xf numFmtId="0" fontId="4" fillId="5" borderId="3" xfId="4" applyFont="1" applyFill="1" applyBorder="1" applyAlignment="1" applyProtection="1">
      <alignment horizontal="center" vertical="center"/>
    </xf>
    <xf numFmtId="0" fontId="3" fillId="3" borderId="13" xfId="4" applyFont="1" applyFill="1" applyBorder="1" applyAlignment="1" applyProtection="1">
      <alignment horizontal="center" vertical="center"/>
      <protection locked="0"/>
    </xf>
    <xf numFmtId="0" fontId="3" fillId="3" borderId="14" xfId="4" applyFont="1" applyFill="1" applyBorder="1" applyAlignment="1" applyProtection="1">
      <alignment horizontal="center" vertical="center"/>
      <protection locked="0"/>
    </xf>
    <xf numFmtId="0" fontId="3" fillId="3" borderId="15" xfId="4" applyFont="1" applyFill="1" applyBorder="1" applyAlignment="1" applyProtection="1">
      <alignment horizontal="center" vertical="center"/>
      <protection locked="0"/>
    </xf>
    <xf numFmtId="0" fontId="4" fillId="5" borderId="13" xfId="4" applyFont="1" applyFill="1" applyBorder="1" applyAlignment="1" applyProtection="1">
      <alignment horizontal="center"/>
    </xf>
    <xf numFmtId="0" fontId="4" fillId="5" borderId="15" xfId="4" applyFont="1" applyFill="1" applyBorder="1" applyAlignment="1" applyProtection="1">
      <alignment horizontal="center"/>
    </xf>
    <xf numFmtId="0" fontId="4" fillId="5" borderId="3" xfId="4" applyFont="1" applyFill="1" applyBorder="1" applyAlignment="1" applyProtection="1">
      <alignment horizontal="left" vertical="center"/>
    </xf>
    <xf numFmtId="0" fontId="37" fillId="6" borderId="13" xfId="0" applyFont="1" applyFill="1" applyBorder="1" applyAlignment="1" applyProtection="1">
      <alignment horizontal="center" vertical="center"/>
    </xf>
    <xf numFmtId="0" fontId="37" fillId="6" borderId="14" xfId="0" applyFont="1" applyFill="1" applyBorder="1" applyAlignment="1" applyProtection="1">
      <alignment horizontal="center" vertical="center"/>
    </xf>
    <xf numFmtId="0" fontId="37" fillId="6" borderId="15" xfId="0" applyFont="1" applyFill="1" applyBorder="1" applyAlignment="1" applyProtection="1">
      <alignment horizontal="center" vertical="center"/>
    </xf>
    <xf numFmtId="0" fontId="39" fillId="5" borderId="36" xfId="0" applyFont="1" applyFill="1" applyBorder="1" applyAlignment="1" applyProtection="1">
      <alignment horizontal="center" vertical="center" wrapText="1"/>
    </xf>
    <xf numFmtId="0" fontId="39" fillId="5" borderId="37" xfId="0" applyFont="1" applyFill="1" applyBorder="1" applyAlignment="1" applyProtection="1">
      <alignment horizontal="center" vertical="center" wrapText="1"/>
    </xf>
    <xf numFmtId="0" fontId="39" fillId="5" borderId="38" xfId="0" applyFont="1" applyFill="1" applyBorder="1" applyAlignment="1" applyProtection="1">
      <alignment horizontal="center" vertical="center" wrapText="1"/>
    </xf>
    <xf numFmtId="0" fontId="39" fillId="5" borderId="29" xfId="0" applyFont="1" applyFill="1" applyBorder="1" applyAlignment="1" applyProtection="1">
      <alignment horizontal="center" vertical="center" wrapText="1"/>
    </xf>
    <xf numFmtId="0" fontId="39" fillId="5" borderId="30" xfId="0" applyFont="1" applyFill="1" applyBorder="1" applyAlignment="1" applyProtection="1">
      <alignment horizontal="center" vertical="center" wrapText="1"/>
    </xf>
    <xf numFmtId="0" fontId="39" fillId="5" borderId="2" xfId="0" applyFont="1" applyFill="1" applyBorder="1" applyAlignment="1" applyProtection="1">
      <alignment horizontal="center" vertical="center" wrapText="1"/>
    </xf>
    <xf numFmtId="0" fontId="39" fillId="5" borderId="32" xfId="0" applyFont="1" applyFill="1" applyBorder="1" applyAlignment="1" applyProtection="1">
      <alignment horizontal="center" vertical="center" wrapText="1"/>
    </xf>
    <xf numFmtId="0" fontId="39" fillId="5" borderId="33" xfId="0" applyFont="1" applyFill="1" applyBorder="1" applyAlignment="1" applyProtection="1">
      <alignment horizontal="center" vertical="center" wrapText="1"/>
    </xf>
    <xf numFmtId="0" fontId="39" fillId="5" borderId="34" xfId="0" applyFont="1" applyFill="1" applyBorder="1" applyAlignment="1" applyProtection="1">
      <alignment horizontal="center" vertical="center" wrapText="1"/>
    </xf>
    <xf numFmtId="0" fontId="39" fillId="5" borderId="35" xfId="0" applyFont="1" applyFill="1" applyBorder="1" applyAlignment="1" applyProtection="1">
      <alignment horizontal="center" vertical="center" wrapText="1"/>
    </xf>
  </cellXfs>
  <cellStyles count="18">
    <cellStyle name="Comma 2" xfId="1"/>
    <cellStyle name="Comma 3" xfId="2"/>
    <cellStyle name="Comma 3 2" xfId="3"/>
    <cellStyle name="Normal" xfId="0" builtinId="0"/>
    <cellStyle name="Normal 2" xfId="4"/>
    <cellStyle name="Normal 2 2" xfId="5"/>
    <cellStyle name="Normal 2 2 2" xfId="6"/>
    <cellStyle name="Normal 2 2 3" xfId="7"/>
    <cellStyle name="Normal 2 2 4" xfId="8"/>
    <cellStyle name="Normal 2 2 5" xfId="9"/>
    <cellStyle name="Normal 2 3" xfId="10"/>
    <cellStyle name="Normal 2 4" xfId="11"/>
    <cellStyle name="Normal 2 5" xfId="12"/>
    <cellStyle name="Normal 3" xfId="13"/>
    <cellStyle name="Normal 6" xfId="14"/>
    <cellStyle name="Normal_Boiler Tune" xfId="15"/>
    <cellStyle name="Percent 2" xfId="16"/>
    <cellStyle name="Percent 3" xfId="17"/>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8</xdr:row>
      <xdr:rowOff>19050</xdr:rowOff>
    </xdr:from>
    <xdr:to>
      <xdr:col>22</xdr:col>
      <xdr:colOff>161925</xdr:colOff>
      <xdr:row>22</xdr:row>
      <xdr:rowOff>19050</xdr:rowOff>
    </xdr:to>
    <xdr:pic>
      <xdr:nvPicPr>
        <xdr:cNvPr id="153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71550" y="1419225"/>
          <a:ext cx="4114800" cy="2800350"/>
        </a:xfrm>
        <a:prstGeom prst="rect">
          <a:avLst/>
        </a:prstGeom>
        <a:noFill/>
        <a:ln w="1">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171450</xdr:colOff>
      <xdr:row>0</xdr:row>
      <xdr:rowOff>19050</xdr:rowOff>
    </xdr:from>
    <xdr:to>
      <xdr:col>10</xdr:col>
      <xdr:colOff>66675</xdr:colOff>
      <xdr:row>0</xdr:row>
      <xdr:rowOff>361950</xdr:rowOff>
    </xdr:to>
    <xdr:pic>
      <xdr:nvPicPr>
        <xdr:cNvPr id="21518"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twoCellAnchor editAs="oneCell">
    <xdr:from>
      <xdr:col>7</xdr:col>
      <xdr:colOff>171450</xdr:colOff>
      <xdr:row>42</xdr:row>
      <xdr:rowOff>19050</xdr:rowOff>
    </xdr:from>
    <xdr:to>
      <xdr:col>10</xdr:col>
      <xdr:colOff>66675</xdr:colOff>
      <xdr:row>42</xdr:row>
      <xdr:rowOff>361950</xdr:rowOff>
    </xdr:to>
    <xdr:pic>
      <xdr:nvPicPr>
        <xdr:cNvPr id="21519"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8210550"/>
          <a:ext cx="1809750" cy="3429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171450</xdr:colOff>
      <xdr:row>0</xdr:row>
      <xdr:rowOff>19050</xdr:rowOff>
    </xdr:from>
    <xdr:to>
      <xdr:col>10</xdr:col>
      <xdr:colOff>66675</xdr:colOff>
      <xdr:row>0</xdr:row>
      <xdr:rowOff>361950</xdr:rowOff>
    </xdr:to>
    <xdr:pic>
      <xdr:nvPicPr>
        <xdr:cNvPr id="22541"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twoCellAnchor editAs="oneCell">
    <xdr:from>
      <xdr:col>7</xdr:col>
      <xdr:colOff>171450</xdr:colOff>
      <xdr:row>42</xdr:row>
      <xdr:rowOff>19050</xdr:rowOff>
    </xdr:from>
    <xdr:to>
      <xdr:col>10</xdr:col>
      <xdr:colOff>66675</xdr:colOff>
      <xdr:row>42</xdr:row>
      <xdr:rowOff>361950</xdr:rowOff>
    </xdr:to>
    <xdr:pic>
      <xdr:nvPicPr>
        <xdr:cNvPr id="22542"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8210550"/>
          <a:ext cx="1809750"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13433"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66675</xdr:colOff>
      <xdr:row>0</xdr:row>
      <xdr:rowOff>19050</xdr:rowOff>
    </xdr:from>
    <xdr:to>
      <xdr:col>11</xdr:col>
      <xdr:colOff>66675</xdr:colOff>
      <xdr:row>0</xdr:row>
      <xdr:rowOff>361950</xdr:rowOff>
    </xdr:to>
    <xdr:pic>
      <xdr:nvPicPr>
        <xdr:cNvPr id="12382"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171450</xdr:colOff>
      <xdr:row>0</xdr:row>
      <xdr:rowOff>19050</xdr:rowOff>
    </xdr:from>
    <xdr:to>
      <xdr:col>10</xdr:col>
      <xdr:colOff>66675</xdr:colOff>
      <xdr:row>0</xdr:row>
      <xdr:rowOff>361950</xdr:rowOff>
    </xdr:to>
    <xdr:pic>
      <xdr:nvPicPr>
        <xdr:cNvPr id="1228"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twoCellAnchor editAs="oneCell">
    <xdr:from>
      <xdr:col>7</xdr:col>
      <xdr:colOff>171450</xdr:colOff>
      <xdr:row>42</xdr:row>
      <xdr:rowOff>19050</xdr:rowOff>
    </xdr:from>
    <xdr:to>
      <xdr:col>10</xdr:col>
      <xdr:colOff>66675</xdr:colOff>
      <xdr:row>42</xdr:row>
      <xdr:rowOff>361950</xdr:rowOff>
    </xdr:to>
    <xdr:pic>
      <xdr:nvPicPr>
        <xdr:cNvPr id="1229"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8210550"/>
          <a:ext cx="1809750" cy="342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171450</xdr:colOff>
      <xdr:row>0</xdr:row>
      <xdr:rowOff>19050</xdr:rowOff>
    </xdr:from>
    <xdr:to>
      <xdr:col>10</xdr:col>
      <xdr:colOff>66675</xdr:colOff>
      <xdr:row>0</xdr:row>
      <xdr:rowOff>361950</xdr:rowOff>
    </xdr:to>
    <xdr:pic>
      <xdr:nvPicPr>
        <xdr:cNvPr id="17423"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twoCellAnchor editAs="oneCell">
    <xdr:from>
      <xdr:col>7</xdr:col>
      <xdr:colOff>171450</xdr:colOff>
      <xdr:row>42</xdr:row>
      <xdr:rowOff>19050</xdr:rowOff>
    </xdr:from>
    <xdr:to>
      <xdr:col>10</xdr:col>
      <xdr:colOff>66675</xdr:colOff>
      <xdr:row>42</xdr:row>
      <xdr:rowOff>361950</xdr:rowOff>
    </xdr:to>
    <xdr:pic>
      <xdr:nvPicPr>
        <xdr:cNvPr id="17424"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8210550"/>
          <a:ext cx="1809750" cy="342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171450</xdr:colOff>
      <xdr:row>0</xdr:row>
      <xdr:rowOff>19050</xdr:rowOff>
    </xdr:from>
    <xdr:to>
      <xdr:col>10</xdr:col>
      <xdr:colOff>66675</xdr:colOff>
      <xdr:row>0</xdr:row>
      <xdr:rowOff>361950</xdr:rowOff>
    </xdr:to>
    <xdr:pic>
      <xdr:nvPicPr>
        <xdr:cNvPr id="18447"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twoCellAnchor editAs="oneCell">
    <xdr:from>
      <xdr:col>7</xdr:col>
      <xdr:colOff>171450</xdr:colOff>
      <xdr:row>42</xdr:row>
      <xdr:rowOff>19050</xdr:rowOff>
    </xdr:from>
    <xdr:to>
      <xdr:col>10</xdr:col>
      <xdr:colOff>66675</xdr:colOff>
      <xdr:row>42</xdr:row>
      <xdr:rowOff>361950</xdr:rowOff>
    </xdr:to>
    <xdr:pic>
      <xdr:nvPicPr>
        <xdr:cNvPr id="18448"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8210550"/>
          <a:ext cx="1809750" cy="342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171450</xdr:colOff>
      <xdr:row>0</xdr:row>
      <xdr:rowOff>19050</xdr:rowOff>
    </xdr:from>
    <xdr:to>
      <xdr:col>10</xdr:col>
      <xdr:colOff>66675</xdr:colOff>
      <xdr:row>0</xdr:row>
      <xdr:rowOff>361950</xdr:rowOff>
    </xdr:to>
    <xdr:pic>
      <xdr:nvPicPr>
        <xdr:cNvPr id="19471"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twoCellAnchor editAs="oneCell">
    <xdr:from>
      <xdr:col>7</xdr:col>
      <xdr:colOff>171450</xdr:colOff>
      <xdr:row>42</xdr:row>
      <xdr:rowOff>19050</xdr:rowOff>
    </xdr:from>
    <xdr:to>
      <xdr:col>10</xdr:col>
      <xdr:colOff>66675</xdr:colOff>
      <xdr:row>42</xdr:row>
      <xdr:rowOff>361950</xdr:rowOff>
    </xdr:to>
    <xdr:pic>
      <xdr:nvPicPr>
        <xdr:cNvPr id="19472"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8210550"/>
          <a:ext cx="1809750" cy="342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171450</xdr:colOff>
      <xdr:row>0</xdr:row>
      <xdr:rowOff>19050</xdr:rowOff>
    </xdr:from>
    <xdr:to>
      <xdr:col>10</xdr:col>
      <xdr:colOff>66675</xdr:colOff>
      <xdr:row>0</xdr:row>
      <xdr:rowOff>361950</xdr:rowOff>
    </xdr:to>
    <xdr:pic>
      <xdr:nvPicPr>
        <xdr:cNvPr id="16401"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twoCellAnchor editAs="oneCell">
    <xdr:from>
      <xdr:col>7</xdr:col>
      <xdr:colOff>171450</xdr:colOff>
      <xdr:row>42</xdr:row>
      <xdr:rowOff>19050</xdr:rowOff>
    </xdr:from>
    <xdr:to>
      <xdr:col>10</xdr:col>
      <xdr:colOff>66675</xdr:colOff>
      <xdr:row>42</xdr:row>
      <xdr:rowOff>361950</xdr:rowOff>
    </xdr:to>
    <xdr:pic>
      <xdr:nvPicPr>
        <xdr:cNvPr id="16402"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8210550"/>
          <a:ext cx="1809750" cy="342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171450</xdr:colOff>
      <xdr:row>0</xdr:row>
      <xdr:rowOff>19050</xdr:rowOff>
    </xdr:from>
    <xdr:to>
      <xdr:col>10</xdr:col>
      <xdr:colOff>66675</xdr:colOff>
      <xdr:row>0</xdr:row>
      <xdr:rowOff>361950</xdr:rowOff>
    </xdr:to>
    <xdr:pic>
      <xdr:nvPicPr>
        <xdr:cNvPr id="20493"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twoCellAnchor editAs="oneCell">
    <xdr:from>
      <xdr:col>7</xdr:col>
      <xdr:colOff>171450</xdr:colOff>
      <xdr:row>42</xdr:row>
      <xdr:rowOff>19050</xdr:rowOff>
    </xdr:from>
    <xdr:to>
      <xdr:col>10</xdr:col>
      <xdr:colOff>66675</xdr:colOff>
      <xdr:row>42</xdr:row>
      <xdr:rowOff>361950</xdr:rowOff>
    </xdr:to>
    <xdr:pic>
      <xdr:nvPicPr>
        <xdr:cNvPr id="20494" name="Picture 1"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8210550"/>
          <a:ext cx="180975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37"/>
  <sheetViews>
    <sheetView showGridLines="0" tabSelected="1" view="pageBreakPreview" zoomScaleNormal="100" zoomScaleSheetLayoutView="100" workbookViewId="0">
      <selection sqref="A1:X1"/>
    </sheetView>
  </sheetViews>
  <sheetFormatPr defaultRowHeight="15.75" customHeight="1"/>
  <cols>
    <col min="1" max="1" width="13.85546875" style="59" customWidth="1"/>
    <col min="2" max="23" width="2.85546875" style="59" customWidth="1"/>
    <col min="24" max="24" width="13.85546875" style="59" customWidth="1"/>
    <col min="25" max="16384" width="9.140625" style="59"/>
  </cols>
  <sheetData>
    <row r="1" spans="1:24" ht="15.75" customHeight="1">
      <c r="A1" s="399" t="s">
        <v>241</v>
      </c>
      <c r="B1" s="399"/>
      <c r="C1" s="399"/>
      <c r="D1" s="399"/>
      <c r="E1" s="399"/>
      <c r="F1" s="399"/>
      <c r="G1" s="399"/>
      <c r="H1" s="399"/>
      <c r="I1" s="399"/>
      <c r="J1" s="399"/>
      <c r="K1" s="399"/>
      <c r="L1" s="399"/>
      <c r="M1" s="399"/>
      <c r="N1" s="399"/>
      <c r="O1" s="399"/>
      <c r="P1" s="399"/>
      <c r="Q1" s="399"/>
      <c r="R1" s="399"/>
      <c r="S1" s="399"/>
      <c r="T1" s="399"/>
      <c r="U1" s="399"/>
      <c r="V1" s="399"/>
      <c r="W1" s="399"/>
      <c r="X1" s="399"/>
    </row>
    <row r="2" spans="1:24" ht="15.75" customHeight="1">
      <c r="A2" s="399" t="s">
        <v>123</v>
      </c>
      <c r="B2" s="399"/>
      <c r="C2" s="399"/>
      <c r="D2" s="399"/>
      <c r="E2" s="399"/>
      <c r="F2" s="399"/>
      <c r="G2" s="399"/>
      <c r="H2" s="399"/>
      <c r="I2" s="399"/>
      <c r="J2" s="399"/>
      <c r="K2" s="399"/>
      <c r="L2" s="399"/>
      <c r="M2" s="399"/>
      <c r="N2" s="399"/>
      <c r="O2" s="399"/>
      <c r="P2" s="399"/>
      <c r="Q2" s="399"/>
      <c r="R2" s="399"/>
      <c r="S2" s="399"/>
      <c r="T2" s="399"/>
      <c r="U2" s="399"/>
      <c r="V2" s="399"/>
      <c r="W2" s="399"/>
      <c r="X2" s="399"/>
    </row>
    <row r="3" spans="1:24" ht="15.75" customHeight="1">
      <c r="A3" s="66"/>
      <c r="B3" s="66"/>
      <c r="C3" s="66"/>
      <c r="D3" s="66"/>
      <c r="E3" s="66"/>
      <c r="F3" s="66"/>
      <c r="G3" s="66"/>
      <c r="H3" s="66"/>
      <c r="I3" s="66"/>
      <c r="J3" s="66"/>
      <c r="K3" s="66"/>
      <c r="L3" s="66"/>
      <c r="M3" s="66"/>
      <c r="N3" s="66"/>
      <c r="O3" s="66"/>
      <c r="P3" s="66"/>
      <c r="Q3" s="66"/>
      <c r="R3" s="66"/>
      <c r="S3" s="66"/>
      <c r="T3" s="66"/>
      <c r="U3" s="66"/>
      <c r="V3" s="66"/>
      <c r="W3" s="66"/>
      <c r="X3" s="66"/>
    </row>
    <row r="4" spans="1:24" ht="15.75" customHeight="1">
      <c r="A4" s="66"/>
      <c r="B4" s="66"/>
      <c r="C4" s="66"/>
      <c r="D4" s="66"/>
      <c r="E4" s="66"/>
      <c r="F4" s="66"/>
      <c r="G4" s="66"/>
      <c r="H4" s="66"/>
      <c r="I4" s="66"/>
      <c r="J4" s="66"/>
      <c r="K4" s="66"/>
      <c r="L4" s="66"/>
      <c r="M4" s="66"/>
      <c r="N4" s="66"/>
      <c r="O4" s="66"/>
      <c r="P4" s="66"/>
      <c r="Q4" s="66"/>
      <c r="R4" s="66"/>
      <c r="S4" s="66"/>
      <c r="T4" s="66"/>
      <c r="U4" s="66"/>
      <c r="V4" s="66"/>
      <c r="W4" s="66"/>
      <c r="X4" s="66"/>
    </row>
    <row r="5" spans="1:24" ht="15.75" customHeight="1">
      <c r="A5" s="60" t="s">
        <v>143</v>
      </c>
      <c r="B5" s="66"/>
      <c r="C5" s="66"/>
      <c r="D5" s="66"/>
      <c r="E5" s="66"/>
      <c r="F5" s="66"/>
      <c r="G5" s="66"/>
      <c r="H5" s="66"/>
      <c r="I5" s="66"/>
      <c r="J5" s="66"/>
      <c r="K5" s="66"/>
      <c r="L5" s="66"/>
      <c r="M5" s="66"/>
      <c r="N5" s="66"/>
      <c r="O5" s="66"/>
      <c r="P5" s="66"/>
      <c r="Q5" s="66"/>
      <c r="R5" s="66"/>
      <c r="S5" s="66"/>
      <c r="T5" s="66"/>
      <c r="U5" s="66"/>
      <c r="V5" s="66"/>
      <c r="W5" s="66"/>
      <c r="X5" s="66"/>
    </row>
    <row r="6" spans="1:24" ht="15.75" customHeight="1">
      <c r="A6" s="60"/>
      <c r="B6" s="66"/>
      <c r="C6" s="66"/>
      <c r="D6" s="66"/>
      <c r="E6" s="66"/>
      <c r="F6" s="66"/>
      <c r="G6" s="66"/>
      <c r="H6" s="66"/>
      <c r="I6" s="66"/>
      <c r="J6" s="66"/>
      <c r="K6" s="66"/>
      <c r="L6" s="66"/>
      <c r="M6" s="66"/>
      <c r="N6" s="66"/>
      <c r="O6" s="66"/>
      <c r="P6" s="66"/>
      <c r="Q6" s="66"/>
      <c r="R6" s="66"/>
      <c r="S6" s="66"/>
      <c r="T6" s="66"/>
      <c r="U6" s="66"/>
      <c r="V6" s="66"/>
      <c r="W6" s="66"/>
      <c r="X6" s="66"/>
    </row>
    <row r="7" spans="1:24" ht="15.75" customHeight="1">
      <c r="A7" s="393" t="str">
        <f ca="1">"Implement a boiler tuning program to maintain an optimum air-fuel ratio, improving combustion efficiency and lowering fuel use."&amp;"  Tuning your boiler(s) will reduce associated fuel consumption by "&amp;TEXT(Calc1!M4,"##.0%")&amp;". "</f>
        <v xml:space="preserve">Implement a boiler tuning program to maintain an optimum air-fuel ratio, improving combustion efficiency and lowering fuel use.  Tuning your boiler(s) will reduce associated fuel consumption by 3.2%. </v>
      </c>
      <c r="B7" s="393"/>
      <c r="C7" s="393"/>
      <c r="D7" s="393"/>
      <c r="E7" s="393"/>
      <c r="F7" s="393"/>
      <c r="G7" s="393"/>
      <c r="H7" s="393"/>
      <c r="I7" s="393"/>
      <c r="J7" s="393"/>
      <c r="K7" s="393"/>
      <c r="L7" s="393"/>
      <c r="M7" s="393"/>
      <c r="N7" s="393"/>
      <c r="O7" s="393"/>
      <c r="P7" s="393"/>
      <c r="Q7" s="393"/>
      <c r="R7" s="393"/>
      <c r="S7" s="393"/>
      <c r="T7" s="393"/>
      <c r="U7" s="393"/>
      <c r="V7" s="393"/>
      <c r="W7" s="393"/>
      <c r="X7" s="393"/>
    </row>
    <row r="8" spans="1:24" ht="15.75" customHeight="1">
      <c r="A8" s="393"/>
      <c r="B8" s="393"/>
      <c r="C8" s="393"/>
      <c r="D8" s="393"/>
      <c r="E8" s="393"/>
      <c r="F8" s="393"/>
      <c r="G8" s="393"/>
      <c r="H8" s="393"/>
      <c r="I8" s="393"/>
      <c r="J8" s="393"/>
      <c r="K8" s="393"/>
      <c r="L8" s="393"/>
      <c r="M8" s="393"/>
      <c r="N8" s="393"/>
      <c r="O8" s="393"/>
      <c r="P8" s="393"/>
      <c r="Q8" s="393"/>
      <c r="R8" s="393"/>
      <c r="S8" s="393"/>
      <c r="T8" s="393"/>
      <c r="U8" s="393"/>
      <c r="V8" s="393"/>
      <c r="W8" s="393"/>
      <c r="X8" s="393"/>
    </row>
    <row r="9" spans="1:24" ht="15.75" customHeight="1">
      <c r="A9" s="393"/>
      <c r="B9" s="393"/>
      <c r="C9" s="393"/>
      <c r="D9" s="393"/>
      <c r="E9" s="393"/>
      <c r="F9" s="393"/>
      <c r="G9" s="393"/>
      <c r="H9" s="393"/>
      <c r="I9" s="393"/>
      <c r="J9" s="393"/>
      <c r="K9" s="393"/>
      <c r="L9" s="393"/>
      <c r="M9" s="393"/>
      <c r="N9" s="393"/>
      <c r="O9" s="393"/>
      <c r="P9" s="393"/>
      <c r="Q9" s="393"/>
      <c r="R9" s="393"/>
      <c r="S9" s="393"/>
      <c r="T9" s="393"/>
      <c r="U9" s="393"/>
      <c r="V9" s="393"/>
      <c r="W9" s="393"/>
      <c r="X9" s="393"/>
    </row>
    <row r="10" spans="1:24" ht="15.75" customHeight="1" thickBot="1"/>
    <row r="11" spans="1:24" ht="15.75" customHeight="1" thickTop="1">
      <c r="B11" s="402" t="s">
        <v>144</v>
      </c>
      <c r="C11" s="403"/>
      <c r="D11" s="403"/>
      <c r="E11" s="403"/>
      <c r="F11" s="403"/>
      <c r="G11" s="403"/>
      <c r="H11" s="403"/>
      <c r="I11" s="403"/>
      <c r="J11" s="403"/>
      <c r="K11" s="403"/>
      <c r="L11" s="403"/>
      <c r="M11" s="403"/>
      <c r="N11" s="403"/>
      <c r="O11" s="403"/>
      <c r="P11" s="403"/>
      <c r="Q11" s="403"/>
      <c r="R11" s="403"/>
      <c r="S11" s="403"/>
      <c r="T11" s="403"/>
      <c r="U11" s="403"/>
      <c r="V11" s="403"/>
      <c r="W11" s="404"/>
    </row>
    <row r="12" spans="1:24" ht="15.75" customHeight="1">
      <c r="B12" s="390" t="s">
        <v>145</v>
      </c>
      <c r="C12" s="388"/>
      <c r="D12" s="388"/>
      <c r="E12" s="388"/>
      <c r="F12" s="388" t="s">
        <v>145</v>
      </c>
      <c r="G12" s="388"/>
      <c r="H12" s="388"/>
      <c r="I12" s="388"/>
      <c r="J12" s="388" t="s">
        <v>146</v>
      </c>
      <c r="K12" s="388"/>
      <c r="L12" s="388"/>
      <c r="M12" s="388"/>
      <c r="N12" s="388" t="s">
        <v>147</v>
      </c>
      <c r="O12" s="388"/>
      <c r="P12" s="388"/>
      <c r="Q12" s="388"/>
      <c r="R12" s="388"/>
      <c r="S12" s="388"/>
      <c r="T12" s="388" t="s">
        <v>148</v>
      </c>
      <c r="U12" s="388"/>
      <c r="V12" s="388"/>
      <c r="W12" s="389"/>
    </row>
    <row r="13" spans="1:24" ht="15.75" customHeight="1">
      <c r="B13" s="395" t="s">
        <v>149</v>
      </c>
      <c r="C13" s="396"/>
      <c r="D13" s="396"/>
      <c r="E13" s="396"/>
      <c r="F13" s="396" t="s">
        <v>151</v>
      </c>
      <c r="G13" s="396"/>
      <c r="H13" s="396"/>
      <c r="I13" s="396"/>
      <c r="J13" s="396" t="s">
        <v>101</v>
      </c>
      <c r="K13" s="396"/>
      <c r="L13" s="396"/>
      <c r="M13" s="396"/>
      <c r="N13" s="396" t="s">
        <v>146</v>
      </c>
      <c r="O13" s="396"/>
      <c r="P13" s="396"/>
      <c r="Q13" s="396"/>
      <c r="R13" s="396"/>
      <c r="S13" s="396"/>
      <c r="T13" s="396" t="s">
        <v>150</v>
      </c>
      <c r="U13" s="396"/>
      <c r="V13" s="396"/>
      <c r="W13" s="397"/>
    </row>
    <row r="14" spans="1:24" ht="15.75" customHeight="1" thickBot="1">
      <c r="B14" s="391">
        <f ca="1">Calc1!M5</f>
        <v>235.61939531351481</v>
      </c>
      <c r="C14" s="392"/>
      <c r="D14" s="392"/>
      <c r="E14" s="392"/>
      <c r="F14" s="392">
        <f ca="1">Calc1!M6</f>
        <v>2356.1939531351481</v>
      </c>
      <c r="G14" s="392"/>
      <c r="H14" s="392"/>
      <c r="I14" s="392"/>
      <c r="J14" s="398">
        <f ca="1">Calc1!M7</f>
        <v>2534.290929702729</v>
      </c>
      <c r="K14" s="398"/>
      <c r="L14" s="398"/>
      <c r="M14" s="398"/>
      <c r="N14" s="398">
        <f ca="1">Calc1!M8</f>
        <v>1000</v>
      </c>
      <c r="O14" s="398"/>
      <c r="P14" s="398"/>
      <c r="Q14" s="398"/>
      <c r="R14" s="398"/>
      <c r="S14" s="398"/>
      <c r="T14" s="400">
        <f ca="1">Calc1!M9</f>
        <v>0.39458768852449766</v>
      </c>
      <c r="U14" s="400"/>
      <c r="V14" s="400"/>
      <c r="W14" s="401"/>
    </row>
    <row r="15" spans="1:24" ht="15.75" customHeight="1" thickTop="1">
      <c r="B15" s="394" t="s">
        <v>152</v>
      </c>
      <c r="C15" s="394"/>
      <c r="D15" s="394"/>
      <c r="E15" s="394"/>
      <c r="F15" s="394"/>
      <c r="G15" s="394"/>
      <c r="H15" s="394"/>
      <c r="I15" s="394"/>
      <c r="J15" s="394"/>
      <c r="K15" s="394"/>
      <c r="L15" s="394"/>
      <c r="M15" s="394"/>
      <c r="N15" s="394"/>
      <c r="O15" s="394"/>
      <c r="P15" s="394"/>
      <c r="Q15" s="394"/>
      <c r="R15" s="394"/>
      <c r="S15" s="394"/>
      <c r="T15" s="394"/>
      <c r="U15" s="394"/>
      <c r="V15" s="394"/>
      <c r="W15" s="394"/>
    </row>
    <row r="18" spans="1:24" ht="15.75" customHeight="1">
      <c r="A18" s="60" t="s">
        <v>153</v>
      </c>
    </row>
    <row r="20" spans="1:24" ht="15.75" customHeight="1">
      <c r="A20" s="393" t="s">
        <v>240</v>
      </c>
      <c r="B20" s="393"/>
      <c r="C20" s="393"/>
      <c r="D20" s="393"/>
      <c r="E20" s="393"/>
      <c r="F20" s="393"/>
      <c r="G20" s="393"/>
      <c r="H20" s="393"/>
      <c r="I20" s="393"/>
      <c r="J20" s="393"/>
      <c r="K20" s="393"/>
      <c r="L20" s="393"/>
      <c r="M20" s="393"/>
      <c r="N20" s="393"/>
      <c r="O20" s="393"/>
      <c r="P20" s="393"/>
      <c r="Q20" s="393"/>
      <c r="R20" s="393"/>
      <c r="S20" s="393"/>
      <c r="T20" s="393"/>
      <c r="U20" s="393"/>
      <c r="V20" s="393"/>
      <c r="W20" s="393"/>
      <c r="X20" s="393"/>
    </row>
    <row r="21" spans="1:24" ht="15.75" customHeight="1">
      <c r="A21" s="393"/>
      <c r="B21" s="393"/>
      <c r="C21" s="393"/>
      <c r="D21" s="393"/>
      <c r="E21" s="393"/>
      <c r="F21" s="393"/>
      <c r="G21" s="393"/>
      <c r="H21" s="393"/>
      <c r="I21" s="393"/>
      <c r="J21" s="393"/>
      <c r="K21" s="393"/>
      <c r="L21" s="393"/>
      <c r="M21" s="393"/>
      <c r="N21" s="393"/>
      <c r="O21" s="393"/>
      <c r="P21" s="393"/>
      <c r="Q21" s="393"/>
      <c r="R21" s="393"/>
      <c r="S21" s="393"/>
      <c r="T21" s="393"/>
      <c r="U21" s="393"/>
      <c r="V21" s="393"/>
      <c r="W21" s="393"/>
      <c r="X21" s="393"/>
    </row>
    <row r="22" spans="1:24" ht="15.75" customHeight="1">
      <c r="A22" s="393"/>
      <c r="B22" s="393"/>
      <c r="C22" s="393"/>
      <c r="D22" s="393"/>
      <c r="E22" s="393"/>
      <c r="F22" s="393"/>
      <c r="G22" s="393"/>
      <c r="H22" s="393"/>
      <c r="I22" s="393"/>
      <c r="J22" s="393"/>
      <c r="K22" s="393"/>
      <c r="L22" s="393"/>
      <c r="M22" s="393"/>
      <c r="N22" s="393"/>
      <c r="O22" s="393"/>
      <c r="P22" s="393"/>
      <c r="Q22" s="393"/>
      <c r="R22" s="393"/>
      <c r="S22" s="393"/>
      <c r="T22" s="393"/>
      <c r="U22" s="393"/>
      <c r="V22" s="393"/>
      <c r="W22" s="393"/>
      <c r="X22" s="393"/>
    </row>
    <row r="23" spans="1:24" ht="15.75" customHeight="1">
      <c r="A23" s="393"/>
      <c r="B23" s="393"/>
      <c r="C23" s="393"/>
      <c r="D23" s="393"/>
      <c r="E23" s="393"/>
      <c r="F23" s="393"/>
      <c r="G23" s="393"/>
      <c r="H23" s="393"/>
      <c r="I23" s="393"/>
      <c r="J23" s="393"/>
      <c r="K23" s="393"/>
      <c r="L23" s="393"/>
      <c r="M23" s="393"/>
      <c r="N23" s="393"/>
      <c r="O23" s="393"/>
      <c r="P23" s="393"/>
      <c r="Q23" s="393"/>
      <c r="R23" s="393"/>
      <c r="S23" s="393"/>
      <c r="T23" s="393"/>
      <c r="U23" s="393"/>
      <c r="V23" s="393"/>
      <c r="W23" s="393"/>
      <c r="X23" s="393"/>
    </row>
    <row r="24" spans="1:24" ht="15.75" customHeight="1">
      <c r="A24" s="393"/>
      <c r="B24" s="393"/>
      <c r="C24" s="393"/>
      <c r="D24" s="393"/>
      <c r="E24" s="393"/>
      <c r="F24" s="393"/>
      <c r="G24" s="393"/>
      <c r="H24" s="393"/>
      <c r="I24" s="393"/>
      <c r="J24" s="393"/>
      <c r="K24" s="393"/>
      <c r="L24" s="393"/>
      <c r="M24" s="393"/>
      <c r="N24" s="393"/>
      <c r="O24" s="393"/>
      <c r="P24" s="393"/>
      <c r="Q24" s="393"/>
      <c r="R24" s="393"/>
      <c r="S24" s="393"/>
      <c r="T24" s="393"/>
      <c r="U24" s="393"/>
      <c r="V24" s="393"/>
      <c r="W24" s="393"/>
      <c r="X24" s="393"/>
    </row>
    <row r="25" spans="1:24" ht="15.75" customHeight="1">
      <c r="A25" s="393"/>
      <c r="B25" s="393"/>
      <c r="C25" s="393"/>
      <c r="D25" s="393"/>
      <c r="E25" s="393"/>
      <c r="F25" s="393"/>
      <c r="G25" s="393"/>
      <c r="H25" s="393"/>
      <c r="I25" s="393"/>
      <c r="J25" s="393"/>
      <c r="K25" s="393"/>
      <c r="L25" s="393"/>
      <c r="M25" s="393"/>
      <c r="N25" s="393"/>
      <c r="O25" s="393"/>
      <c r="P25" s="393"/>
      <c r="Q25" s="393"/>
      <c r="R25" s="393"/>
      <c r="S25" s="393"/>
      <c r="T25" s="393"/>
      <c r="U25" s="393"/>
      <c r="V25" s="393"/>
      <c r="W25" s="393"/>
      <c r="X25" s="393"/>
    </row>
    <row r="27" spans="1:24" ht="15.75" customHeight="1">
      <c r="A27" s="387" t="s">
        <v>225</v>
      </c>
      <c r="B27" s="387"/>
      <c r="C27" s="387"/>
      <c r="D27" s="387"/>
      <c r="E27" s="387"/>
      <c r="F27" s="387"/>
      <c r="G27" s="387"/>
      <c r="H27" s="387"/>
      <c r="I27" s="387"/>
      <c r="J27" s="387"/>
      <c r="K27" s="387"/>
      <c r="L27" s="387"/>
      <c r="M27" s="387"/>
      <c r="N27" s="387"/>
      <c r="O27" s="387"/>
      <c r="P27" s="387"/>
      <c r="Q27" s="387"/>
      <c r="R27" s="387"/>
      <c r="S27" s="387"/>
      <c r="T27" s="387"/>
      <c r="U27" s="387"/>
      <c r="V27" s="387"/>
      <c r="W27" s="387"/>
      <c r="X27" s="387"/>
    </row>
    <row r="28" spans="1:24" ht="15.75" customHeight="1">
      <c r="A28" s="387"/>
      <c r="B28" s="387"/>
      <c r="C28" s="387"/>
      <c r="D28" s="387"/>
      <c r="E28" s="387"/>
      <c r="F28" s="387"/>
      <c r="G28" s="387"/>
      <c r="H28" s="387"/>
      <c r="I28" s="387"/>
      <c r="J28" s="387"/>
      <c r="K28" s="387"/>
      <c r="L28" s="387"/>
      <c r="M28" s="387"/>
      <c r="N28" s="387"/>
      <c r="O28" s="387"/>
      <c r="P28" s="387"/>
      <c r="Q28" s="387"/>
      <c r="R28" s="387"/>
      <c r="S28" s="387"/>
      <c r="T28" s="387"/>
      <c r="U28" s="387"/>
      <c r="V28" s="387"/>
      <c r="W28" s="387"/>
      <c r="X28" s="387"/>
    </row>
    <row r="29" spans="1:24" ht="15.75" customHeight="1">
      <c r="A29" s="387"/>
      <c r="B29" s="387"/>
      <c r="C29" s="387"/>
      <c r="D29" s="387"/>
      <c r="E29" s="387"/>
      <c r="F29" s="387"/>
      <c r="G29" s="387"/>
      <c r="H29" s="387"/>
      <c r="I29" s="387"/>
      <c r="J29" s="387"/>
      <c r="K29" s="387"/>
      <c r="L29" s="387"/>
      <c r="M29" s="387"/>
      <c r="N29" s="387"/>
      <c r="O29" s="387"/>
      <c r="P29" s="387"/>
      <c r="Q29" s="387"/>
      <c r="R29" s="387"/>
      <c r="S29" s="387"/>
      <c r="T29" s="387"/>
      <c r="U29" s="387"/>
      <c r="V29" s="387"/>
      <c r="W29" s="387"/>
      <c r="X29" s="387"/>
    </row>
    <row r="31" spans="1:24" ht="15.75" customHeight="1">
      <c r="A31" s="393" t="s">
        <v>232</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row>
    <row r="32" spans="1:24" ht="15.75" customHeight="1">
      <c r="A32" s="393"/>
      <c r="B32" s="393"/>
      <c r="C32" s="393"/>
      <c r="D32" s="393"/>
      <c r="E32" s="393"/>
      <c r="F32" s="393"/>
      <c r="G32" s="393"/>
      <c r="H32" s="393"/>
      <c r="I32" s="393"/>
      <c r="J32" s="393"/>
      <c r="K32" s="393"/>
      <c r="L32" s="393"/>
      <c r="M32" s="393"/>
      <c r="N32" s="393"/>
      <c r="O32" s="393"/>
      <c r="P32" s="393"/>
      <c r="Q32" s="393"/>
      <c r="R32" s="393"/>
      <c r="S32" s="393"/>
      <c r="T32" s="393"/>
      <c r="U32" s="393"/>
      <c r="V32" s="393"/>
      <c r="W32" s="393"/>
      <c r="X32" s="393"/>
    </row>
    <row r="33" spans="1:24" ht="15.75" customHeight="1">
      <c r="A33" s="393"/>
      <c r="B33" s="393"/>
      <c r="C33" s="393"/>
      <c r="D33" s="393"/>
      <c r="E33" s="393"/>
      <c r="F33" s="393"/>
      <c r="G33" s="393"/>
      <c r="H33" s="393"/>
      <c r="I33" s="393"/>
      <c r="J33" s="393"/>
      <c r="K33" s="393"/>
      <c r="L33" s="393"/>
      <c r="M33" s="393"/>
      <c r="N33" s="393"/>
      <c r="O33" s="393"/>
      <c r="P33" s="393"/>
      <c r="Q33" s="393"/>
      <c r="R33" s="393"/>
      <c r="S33" s="393"/>
      <c r="T33" s="393"/>
      <c r="U33" s="393"/>
      <c r="V33" s="393"/>
      <c r="W33" s="393"/>
      <c r="X33" s="393"/>
    </row>
    <row r="34" spans="1:24" ht="15.75" customHeight="1">
      <c r="A34" s="393"/>
      <c r="B34" s="393"/>
      <c r="C34" s="393"/>
      <c r="D34" s="393"/>
      <c r="E34" s="393"/>
      <c r="F34" s="393"/>
      <c r="G34" s="393"/>
      <c r="H34" s="393"/>
      <c r="I34" s="393"/>
      <c r="J34" s="393"/>
      <c r="K34" s="393"/>
      <c r="L34" s="393"/>
      <c r="M34" s="393"/>
      <c r="N34" s="393"/>
      <c r="O34" s="393"/>
      <c r="P34" s="393"/>
      <c r="Q34" s="393"/>
      <c r="R34" s="393"/>
      <c r="S34" s="393"/>
      <c r="T34" s="393"/>
      <c r="U34" s="393"/>
      <c r="V34" s="393"/>
      <c r="W34" s="393"/>
      <c r="X34" s="393"/>
    </row>
    <row r="35" spans="1:24" ht="15.75" customHeight="1">
      <c r="A35" s="393"/>
      <c r="B35" s="393"/>
      <c r="C35" s="393"/>
      <c r="D35" s="393"/>
      <c r="E35" s="393"/>
      <c r="F35" s="393"/>
      <c r="G35" s="393"/>
      <c r="H35" s="393"/>
      <c r="I35" s="393"/>
      <c r="J35" s="393"/>
      <c r="K35" s="393"/>
      <c r="L35" s="393"/>
      <c r="M35" s="393"/>
      <c r="N35" s="393"/>
      <c r="O35" s="393"/>
      <c r="P35" s="393"/>
      <c r="Q35" s="393"/>
      <c r="R35" s="393"/>
      <c r="S35" s="393"/>
      <c r="T35" s="393"/>
      <c r="U35" s="393"/>
      <c r="V35" s="393"/>
      <c r="W35" s="393"/>
      <c r="X35" s="393"/>
    </row>
    <row r="36" spans="1:24" ht="15.75" customHeight="1">
      <c r="A36" s="393"/>
      <c r="B36" s="393"/>
      <c r="C36" s="393"/>
      <c r="D36" s="393"/>
      <c r="E36" s="393"/>
      <c r="F36" s="393"/>
      <c r="G36" s="393"/>
      <c r="H36" s="393"/>
      <c r="I36" s="393"/>
      <c r="J36" s="393"/>
      <c r="K36" s="393"/>
      <c r="L36" s="393"/>
      <c r="M36" s="393"/>
      <c r="N36" s="393"/>
      <c r="O36" s="393"/>
      <c r="P36" s="393"/>
      <c r="Q36" s="393"/>
      <c r="R36" s="393"/>
      <c r="S36" s="393"/>
      <c r="T36" s="393"/>
      <c r="U36" s="393"/>
      <c r="V36" s="393"/>
      <c r="W36" s="393"/>
      <c r="X36" s="393"/>
    </row>
    <row r="37" spans="1:24" ht="15.75" customHeight="1">
      <c r="A37" s="393"/>
      <c r="B37" s="393"/>
      <c r="C37" s="393"/>
      <c r="D37" s="393"/>
      <c r="E37" s="393"/>
      <c r="F37" s="393"/>
      <c r="G37" s="393"/>
      <c r="H37" s="393"/>
      <c r="I37" s="393"/>
      <c r="J37" s="393"/>
      <c r="K37" s="393"/>
      <c r="L37" s="393"/>
      <c r="M37" s="393"/>
      <c r="N37" s="393"/>
      <c r="O37" s="393"/>
      <c r="P37" s="393"/>
      <c r="Q37" s="393"/>
      <c r="R37" s="393"/>
      <c r="S37" s="393"/>
      <c r="T37" s="393"/>
      <c r="U37" s="393"/>
      <c r="V37" s="393"/>
      <c r="W37" s="393"/>
      <c r="X37" s="393"/>
    </row>
  </sheetData>
  <sheetProtection password="E0B2" sheet="1" objects="1" scenarios="1" selectLockedCells="1"/>
  <mergeCells count="23">
    <mergeCell ref="A7:X9"/>
    <mergeCell ref="J14:M14"/>
    <mergeCell ref="N14:S14"/>
    <mergeCell ref="A1:X1"/>
    <mergeCell ref="A2:X2"/>
    <mergeCell ref="T14:W14"/>
    <mergeCell ref="B11:W11"/>
    <mergeCell ref="A31:X37"/>
    <mergeCell ref="A20:X25"/>
    <mergeCell ref="B15:W15"/>
    <mergeCell ref="B13:E13"/>
    <mergeCell ref="F13:I13"/>
    <mergeCell ref="J13:M13"/>
    <mergeCell ref="N13:S13"/>
    <mergeCell ref="T13:W13"/>
    <mergeCell ref="A27:X29"/>
    <mergeCell ref="N12:S12"/>
    <mergeCell ref="T12:W12"/>
    <mergeCell ref="B12:E12"/>
    <mergeCell ref="F12:I12"/>
    <mergeCell ref="B14:E14"/>
    <mergeCell ref="F14:I14"/>
    <mergeCell ref="J12:M12"/>
  </mergeCells>
  <printOptions horizontalCentered="1"/>
  <pageMargins left="0.2" right="0.2"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N79"/>
  <sheetViews>
    <sheetView view="pageBreakPreview" zoomScaleNormal="100" zoomScaleSheetLayoutView="100" workbookViewId="0">
      <selection activeCell="D4" sqref="D4:E4"/>
    </sheetView>
  </sheetViews>
  <sheetFormatPr defaultRowHeight="15"/>
  <cols>
    <col min="1" max="1" width="1.42578125" style="67" customWidth="1"/>
    <col min="2" max="2" width="19.140625" style="67" customWidth="1"/>
    <col min="3" max="10" width="9.5703125" style="67" customWidth="1"/>
    <col min="11" max="11" width="1.42578125" style="67" customWidth="1"/>
    <col min="12" max="16" width="9.28515625" style="67" customWidth="1"/>
    <col min="17" max="16384" width="9.140625" style="67"/>
  </cols>
  <sheetData>
    <row r="1" spans="1:14" ht="30" customHeight="1">
      <c r="A1" s="425" t="s">
        <v>124</v>
      </c>
      <c r="B1" s="425"/>
      <c r="C1" s="425"/>
      <c r="D1" s="425"/>
      <c r="E1" s="425"/>
      <c r="F1" s="425"/>
      <c r="G1" s="425"/>
      <c r="H1" s="425"/>
      <c r="I1" s="425"/>
      <c r="J1" s="425"/>
      <c r="K1" s="425"/>
      <c r="L1" s="174"/>
      <c r="M1" s="174"/>
    </row>
    <row r="2" spans="1:14" ht="15" customHeight="1"/>
    <row r="3" spans="1:14" ht="15" customHeight="1">
      <c r="B3" s="439" t="s">
        <v>194</v>
      </c>
      <c r="C3" s="439"/>
      <c r="D3" s="439"/>
      <c r="E3" s="439"/>
      <c r="F3" s="439"/>
      <c r="G3" s="439"/>
      <c r="H3" s="439"/>
      <c r="I3" s="439"/>
      <c r="J3" s="439"/>
    </row>
    <row r="4" spans="1:14" ht="15" customHeight="1">
      <c r="B4" s="428" t="s">
        <v>96</v>
      </c>
      <c r="C4" s="430"/>
      <c r="D4" s="437"/>
      <c r="E4" s="438"/>
      <c r="F4" s="432" t="s">
        <v>239</v>
      </c>
      <c r="G4" s="432"/>
      <c r="H4" s="432"/>
      <c r="I4" s="448"/>
      <c r="J4" s="448"/>
      <c r="K4" s="68"/>
    </row>
    <row r="5" spans="1:14" ht="15" customHeight="1">
      <c r="B5" s="432" t="s">
        <v>95</v>
      </c>
      <c r="C5" s="432"/>
      <c r="D5" s="437"/>
      <c r="E5" s="438"/>
      <c r="F5" s="428" t="s">
        <v>77</v>
      </c>
      <c r="G5" s="429"/>
      <c r="H5" s="430"/>
      <c r="I5" s="247">
        <f>SUM(C51:F51)</f>
        <v>0</v>
      </c>
      <c r="J5" s="175" t="s">
        <v>92</v>
      </c>
    </row>
    <row r="6" spans="1:14" ht="15" customHeight="1">
      <c r="B6" s="434" t="s">
        <v>176</v>
      </c>
      <c r="C6" s="434"/>
      <c r="D6" s="249" t="e">
        <f ca="1">D38/((I7-F49)*I6)*(I7/F49)*0.00006</f>
        <v>#DIV/0!</v>
      </c>
      <c r="E6" s="176" t="s">
        <v>164</v>
      </c>
      <c r="F6" s="434" t="s">
        <v>94</v>
      </c>
      <c r="G6" s="434"/>
      <c r="H6" s="434"/>
      <c r="I6" s="251"/>
      <c r="J6" s="177" t="s">
        <v>93</v>
      </c>
    </row>
    <row r="7" spans="1:14" ht="15" customHeight="1">
      <c r="B7" s="435" t="s">
        <v>162</v>
      </c>
      <c r="C7" s="435"/>
      <c r="D7" s="252"/>
      <c r="E7" s="178" t="s">
        <v>163</v>
      </c>
      <c r="F7" s="432" t="s">
        <v>160</v>
      </c>
      <c r="G7" s="432"/>
      <c r="H7" s="432"/>
      <c r="I7" s="254"/>
      <c r="J7" s="248"/>
      <c r="N7" s="179"/>
    </row>
    <row r="8" spans="1:14" ht="15" customHeight="1">
      <c r="B8" s="188"/>
      <c r="C8" s="188"/>
      <c r="D8" s="181"/>
      <c r="E8" s="188"/>
      <c r="F8" s="182"/>
      <c r="G8" s="182"/>
      <c r="H8" s="182"/>
      <c r="I8" s="183"/>
      <c r="J8" s="182"/>
      <c r="N8" s="179"/>
    </row>
    <row r="9" spans="1:14" ht="15" customHeight="1">
      <c r="B9" s="439" t="s">
        <v>195</v>
      </c>
      <c r="C9" s="439"/>
      <c r="D9" s="439"/>
      <c r="E9" s="439"/>
      <c r="F9" s="439"/>
      <c r="G9" s="439"/>
      <c r="H9" s="439"/>
      <c r="I9" s="439"/>
      <c r="J9" s="439"/>
    </row>
    <row r="10" spans="1:14" ht="15" customHeight="1">
      <c r="B10" s="426" t="s">
        <v>91</v>
      </c>
      <c r="C10" s="426"/>
      <c r="D10" s="255"/>
      <c r="E10" s="256" t="s">
        <v>226</v>
      </c>
      <c r="F10" s="431" t="s">
        <v>198</v>
      </c>
      <c r="G10" s="431"/>
      <c r="H10" s="431"/>
      <c r="I10" s="257"/>
      <c r="J10" s="184" t="s">
        <v>83</v>
      </c>
    </row>
    <row r="11" spans="1:14" ht="15" customHeight="1">
      <c r="B11" s="433" t="s">
        <v>161</v>
      </c>
      <c r="C11" s="433"/>
      <c r="D11" s="258"/>
      <c r="E11" s="250"/>
      <c r="F11" s="434" t="s">
        <v>86</v>
      </c>
      <c r="G11" s="434"/>
      <c r="H11" s="434"/>
      <c r="I11" s="259">
        <f>-0.0000000000000723527*I12^3+0.00000000795644*I12^2-0.00053178*I12+14.6958</f>
        <v>14.6958</v>
      </c>
      <c r="J11" s="185" t="s">
        <v>85</v>
      </c>
    </row>
    <row r="12" spans="1:14" ht="15" customHeight="1">
      <c r="B12" s="432" t="s">
        <v>88</v>
      </c>
      <c r="C12" s="432"/>
      <c r="D12" s="260"/>
      <c r="E12" s="253" t="s">
        <v>87</v>
      </c>
      <c r="F12" s="435" t="s">
        <v>90</v>
      </c>
      <c r="G12" s="435"/>
      <c r="H12" s="435"/>
      <c r="I12" s="260"/>
      <c r="J12" s="175" t="s">
        <v>89</v>
      </c>
    </row>
    <row r="13" spans="1:14" ht="15" customHeight="1">
      <c r="B13" s="182"/>
      <c r="C13" s="182"/>
      <c r="D13" s="186"/>
      <c r="E13" s="188"/>
      <c r="F13" s="188"/>
      <c r="G13" s="188"/>
      <c r="H13" s="188"/>
      <c r="I13" s="186"/>
      <c r="J13" s="182"/>
    </row>
    <row r="14" spans="1:14" ht="15" customHeight="1">
      <c r="B14" s="439" t="s">
        <v>196</v>
      </c>
      <c r="C14" s="439"/>
      <c r="D14" s="439"/>
      <c r="E14" s="439"/>
      <c r="F14" s="439"/>
      <c r="G14" s="439"/>
      <c r="H14" s="439"/>
      <c r="I14" s="439"/>
      <c r="J14" s="439"/>
    </row>
    <row r="15" spans="1:14" ht="15" customHeight="1">
      <c r="A15" s="87"/>
      <c r="B15" s="436" t="s">
        <v>165</v>
      </c>
      <c r="C15" s="436"/>
      <c r="D15" s="261"/>
      <c r="E15" s="187" t="s">
        <v>166</v>
      </c>
      <c r="F15" s="426" t="s">
        <v>167</v>
      </c>
      <c r="G15" s="426"/>
      <c r="H15" s="426"/>
      <c r="I15" s="262">
        <f>I6*29.876249572*0.2</f>
        <v>0</v>
      </c>
      <c r="J15" s="184" t="s">
        <v>168</v>
      </c>
    </row>
    <row r="16" spans="1:14" ht="15" customHeight="1">
      <c r="B16" s="435" t="s">
        <v>171</v>
      </c>
      <c r="C16" s="435"/>
      <c r="D16" s="309">
        <f>1.986/18</f>
        <v>0.11033333333333334</v>
      </c>
      <c r="E16" s="178" t="s">
        <v>170</v>
      </c>
      <c r="F16" s="427"/>
      <c r="G16" s="427"/>
      <c r="H16" s="427"/>
      <c r="I16" s="68"/>
    </row>
    <row r="17" spans="2:12" ht="15" customHeight="1">
      <c r="B17" s="188"/>
      <c r="C17" s="188"/>
      <c r="D17" s="189"/>
      <c r="E17" s="188"/>
      <c r="F17" s="188"/>
      <c r="G17" s="188"/>
      <c r="H17" s="188"/>
      <c r="I17" s="68"/>
    </row>
    <row r="18" spans="2:12" ht="15" customHeight="1">
      <c r="B18" s="439" t="s">
        <v>200</v>
      </c>
      <c r="C18" s="439"/>
      <c r="D18" s="439"/>
      <c r="E18" s="439"/>
      <c r="F18" s="439"/>
      <c r="G18" s="439"/>
      <c r="H18" s="439"/>
      <c r="I18" s="439"/>
      <c r="J18" s="439"/>
    </row>
    <row r="19" spans="2:12" ht="15" customHeight="1">
      <c r="B19" s="263" t="s">
        <v>207</v>
      </c>
      <c r="C19" s="264"/>
      <c r="D19" s="265"/>
      <c r="E19" s="184" t="s">
        <v>84</v>
      </c>
      <c r="F19" s="442" t="s">
        <v>208</v>
      </c>
      <c r="G19" s="443"/>
      <c r="H19" s="444"/>
      <c r="I19" s="284">
        <f ca="1">(OFFSET('Steam Properties'!$A$5,MATCH(D19,'Steam Properties'!$A$5:'Steam Properties'!$A$129,TRUE),1,1,1)-VLOOKUP(D19,'Steam Properties'!$A$5:'Steam Properties'!$F$129,2,TRUE))/(OFFSET('Steam Properties'!$A$5,MATCH(D19,'Steam Properties'!$A$5:'Steam Properties'!$A$129,TRUE),0,1,1)-VLOOKUP(D19,'Steam Properties'!$A$5:'Steam Properties'!$F$129,1,TRUE))*(D19-VLOOKUP(D19,'Steam Properties'!$A$5:'Steam Properties'!$F$129,1,TRUE))+VLOOKUP(D19,'Steam Properties'!$A$5:'Steam Properties'!$F$129,2,TRUE)</f>
        <v>212</v>
      </c>
      <c r="J19" s="184" t="s">
        <v>83</v>
      </c>
      <c r="L19" s="284"/>
    </row>
    <row r="20" spans="2:12" ht="15" customHeight="1">
      <c r="B20" s="433" t="s">
        <v>204</v>
      </c>
      <c r="C20" s="433"/>
      <c r="D20" s="266">
        <f ca="1">(OFFSET('Steam Properties'!$A$5,MATCH(D19,'Steam Properties'!$A$5:'Steam Properties'!$A$129,TRUE),1,1,1)-VLOOKUP(D19,'Steam Properties'!$A$5:'Steam Properties'!$F$129,3,TRUE))/(OFFSET('Steam Properties'!$A$5,MATCH(D19,'Steam Properties'!$A$5:'Steam Properties'!$A$129,TRUE),0,1,1)-VLOOKUP(D19,'Steam Properties'!$A$5:'Steam Properties'!$F$129,1,TRUE))*(D19-VLOOKUP(D19,'Steam Properties'!$A$5:'Steam Properties'!$F$129,1,TRUE))+VLOOKUP(D19,'Steam Properties'!$A$5:'Steam Properties'!$F$129,3,TRUE)</f>
        <v>26.8</v>
      </c>
      <c r="E20" s="190" t="s">
        <v>205</v>
      </c>
      <c r="F20" s="433" t="s">
        <v>202</v>
      </c>
      <c r="G20" s="433"/>
      <c r="H20" s="433"/>
      <c r="I20" s="267">
        <f ca="1">(OFFSET('Steam Properties'!$A$5,MATCH(D19,'Steam Properties'!$A$5:'Steam Properties'!$A$129,TRUE),1,1,1)-VLOOKUP(D19,'Steam Properties'!$A$5:'Steam Properties'!$F$129,4,TRUE))/(OFFSET('Steam Properties'!$A$5,MATCH(D19,'Steam Properties'!$A$5:'Steam Properties'!$A$129,TRUE),0,1,1)-VLOOKUP(D19,'Steam Properties'!$A$5:'Steam Properties'!$F$129,1,TRUE))*(D19-VLOOKUP(D19,'Steam Properties'!$A$5:'Steam Properties'!$F$129,1,TRUE))+VLOOKUP(D19,'Steam Properties'!$A$5:'Steam Properties'!$F$129,4,TRUE)</f>
        <v>180</v>
      </c>
      <c r="J20" s="185" t="s">
        <v>169</v>
      </c>
    </row>
    <row r="21" spans="2:12" ht="15" customHeight="1">
      <c r="B21" s="435" t="s">
        <v>201</v>
      </c>
      <c r="C21" s="435"/>
      <c r="D21" s="268">
        <f ca="1">(OFFSET('Steam Properties'!$A$5,MATCH(D19,'Steam Properties'!$A$5:'Steam Properties'!$A$129,TRUE),1,1,1)-VLOOKUP(D19,'Steam Properties'!$A$5:'Steam Properties'!$F$129,5,TRUE))/(OFFSET('Steam Properties'!$A$5,MATCH(D19,'Steam Properties'!$A$5:'Steam Properties'!$A$129,TRUE),0,1,1)-VLOOKUP(D19,'Steam Properties'!$A$5:'Steam Properties'!$F$129,1,TRUE))*(D19-VLOOKUP(D19,'Steam Properties'!$A$5:'Steam Properties'!$F$129,1,TRUE))+VLOOKUP(D19,'Steam Properties'!$A$5:'Steam Properties'!$F$129,5,TRUE)</f>
        <v>970</v>
      </c>
      <c r="E21" s="178" t="s">
        <v>169</v>
      </c>
      <c r="F21" s="435" t="s">
        <v>203</v>
      </c>
      <c r="G21" s="435"/>
      <c r="H21" s="435"/>
      <c r="I21" s="269">
        <f ca="1">(OFFSET('Steam Properties'!$A$5,MATCH(D19,'Steam Properties'!$A$5:'Steam Properties'!$A$129,TRUE),1,1,1)-VLOOKUP(D19,'Steam Properties'!$A$5:'Steam Properties'!$F$129,6,TRUE))/(OFFSET('Steam Properties'!$A$5,MATCH(D19,'Steam Properties'!$A$5:'Steam Properties'!$A$129,TRUE),0,1,1)-VLOOKUP(D19,'Steam Properties'!$A$5:'Steam Properties'!$F$129,1,TRUE))*(D19-VLOOKUP(D19,'Steam Properties'!$A$5:'Steam Properties'!$F$129,1,TRUE))+VLOOKUP(D19,'Steam Properties'!$A$5:'Steam Properties'!$F$129,6,TRUE)</f>
        <v>1150</v>
      </c>
      <c r="J21" s="178" t="s">
        <v>169</v>
      </c>
    </row>
    <row r="22" spans="2:12" ht="15" customHeight="1">
      <c r="B22" s="188"/>
      <c r="C22" s="188"/>
      <c r="D22" s="191"/>
      <c r="E22" s="188"/>
      <c r="F22" s="188"/>
      <c r="G22" s="188"/>
      <c r="H22" s="188"/>
      <c r="I22" s="153"/>
      <c r="J22" s="188"/>
    </row>
    <row r="23" spans="2:12" ht="15" customHeight="1">
      <c r="B23" s="439" t="s">
        <v>206</v>
      </c>
      <c r="C23" s="439"/>
      <c r="D23" s="439"/>
      <c r="E23" s="439"/>
      <c r="F23" s="439"/>
      <c r="G23" s="439"/>
      <c r="H23" s="439"/>
      <c r="I23" s="439"/>
      <c r="J23" s="439"/>
    </row>
    <row r="24" spans="2:12" ht="15" customHeight="1">
      <c r="B24" s="263" t="s">
        <v>209</v>
      </c>
      <c r="C24" s="264"/>
      <c r="D24" s="265"/>
      <c r="E24" s="184" t="s">
        <v>84</v>
      </c>
      <c r="F24" s="442" t="s">
        <v>210</v>
      </c>
      <c r="G24" s="443"/>
      <c r="H24" s="444"/>
      <c r="I24" s="284">
        <f ca="1">(OFFSET('Steam Properties'!$A$5,MATCH(D24,'Steam Properties'!$A$5:'Steam Properties'!$A$129,TRUE),1,1,1)-VLOOKUP(D24,'Steam Properties'!$A$5:'Steam Properties'!$F$129,2,TRUE))/(OFFSET('Steam Properties'!$A$5,MATCH(D24,'Steam Properties'!$A$5:'Steam Properties'!$A$129,TRUE),0,1,1)-VLOOKUP(D24,'Steam Properties'!$A$5:'Steam Properties'!$F$129,1,TRUE))*(D24-VLOOKUP(D24,'Steam Properties'!$A$5:'Steam Properties'!$F$129,1,TRUE))+VLOOKUP(D24,'Steam Properties'!$A$5:'Steam Properties'!$F$129,2,TRUE)</f>
        <v>212</v>
      </c>
      <c r="J24" s="184" t="s">
        <v>83</v>
      </c>
      <c r="L24" s="284"/>
    </row>
    <row r="25" spans="2:12" ht="15" customHeight="1">
      <c r="B25" s="433" t="s">
        <v>204</v>
      </c>
      <c r="C25" s="433"/>
      <c r="D25" s="266">
        <f ca="1">(OFFSET('Steam Properties'!$A$5,MATCH(D24,'Steam Properties'!$A$5:'Steam Properties'!$A$129,TRUE),1,1,1)-VLOOKUP(D24,'Steam Properties'!$A$5:'Steam Properties'!$F$129,3,TRUE))/(OFFSET('Steam Properties'!$A$5,MATCH(D24,'Steam Properties'!$A$5:'Steam Properties'!$A$129,TRUE),0,1,1)-VLOOKUP(D24,'Steam Properties'!$A$5:'Steam Properties'!$F$129,1,TRUE))*(D24-VLOOKUP(D24,'Steam Properties'!$A$5:'Steam Properties'!$F$129,1,TRUE))+VLOOKUP(D24,'Steam Properties'!$A$5:'Steam Properties'!$F$129,3,TRUE)</f>
        <v>26.8</v>
      </c>
      <c r="E25" s="190" t="s">
        <v>205</v>
      </c>
      <c r="F25" s="433" t="s">
        <v>202</v>
      </c>
      <c r="G25" s="433"/>
      <c r="H25" s="433"/>
      <c r="I25" s="267">
        <f ca="1">(OFFSET('Steam Properties'!$A$5,MATCH(D24,'Steam Properties'!$A$5:'Steam Properties'!$A$129,TRUE),1,1,1)-VLOOKUP(D24,'Steam Properties'!$A$5:'Steam Properties'!$F$129,4,TRUE))/(OFFSET('Steam Properties'!$A$5,MATCH(D24,'Steam Properties'!$A$5:'Steam Properties'!$A$129,TRUE),0,1,1)-VLOOKUP(D24,'Steam Properties'!$A$5:'Steam Properties'!$F$129,1,TRUE))*(D24-VLOOKUP(D24,'Steam Properties'!$A$5:'Steam Properties'!$F$129,1,TRUE))+VLOOKUP(D24,'Steam Properties'!$A$5:'Steam Properties'!$F$129,4,TRUE)</f>
        <v>180</v>
      </c>
      <c r="J25" s="185" t="s">
        <v>169</v>
      </c>
    </row>
    <row r="26" spans="2:12" ht="15" customHeight="1">
      <c r="B26" s="435" t="s">
        <v>201</v>
      </c>
      <c r="C26" s="435"/>
      <c r="D26" s="268">
        <f ca="1">(OFFSET('Steam Properties'!$A$5,MATCH(D24,'Steam Properties'!$A$5:'Steam Properties'!$A$129,TRUE),1,1,1)-VLOOKUP(D24,'Steam Properties'!$A$5:'Steam Properties'!$F$129,5,TRUE))/(OFFSET('Steam Properties'!$A$5,MATCH(D24,'Steam Properties'!$A$5:'Steam Properties'!$A$129,TRUE),0,1,1)-VLOOKUP(D24,'Steam Properties'!$A$5:'Steam Properties'!$F$129,1,TRUE))*(D24-VLOOKUP(D24,'Steam Properties'!$A$5:'Steam Properties'!$F$129,1,TRUE))+VLOOKUP(D24,'Steam Properties'!$A$5:'Steam Properties'!$F$129,5,TRUE)</f>
        <v>970</v>
      </c>
      <c r="E26" s="178" t="s">
        <v>169</v>
      </c>
      <c r="F26" s="435" t="s">
        <v>203</v>
      </c>
      <c r="G26" s="435"/>
      <c r="H26" s="435"/>
      <c r="I26" s="268">
        <f ca="1">(OFFSET('Steam Properties'!$A$5,MATCH(D24,'Steam Properties'!$A$5:'Steam Properties'!$A$129,TRUE),1,1,1)-VLOOKUP(D24,'Steam Properties'!$A$5:'Steam Properties'!$F$129,6,TRUE))/(OFFSET('Steam Properties'!$A$5,MATCH(D24,'Steam Properties'!$A$5:'Steam Properties'!$A$129,TRUE),0,1,1)-VLOOKUP(D24,'Steam Properties'!$A$5:'Steam Properties'!$F$129,1,TRUE))*(D24-VLOOKUP(D24,'Steam Properties'!$A$5:'Steam Properties'!$F$129,1,TRUE))+VLOOKUP(D24,'Steam Properties'!$A$5:'Steam Properties'!$F$129,6,TRUE)</f>
        <v>1150</v>
      </c>
      <c r="J26" s="178" t="s">
        <v>169</v>
      </c>
    </row>
    <row r="27" spans="2:12" ht="15" customHeight="1">
      <c r="B27" s="188"/>
      <c r="C27" s="188"/>
      <c r="D27" s="191"/>
      <c r="E27" s="188"/>
      <c r="F27" s="188"/>
      <c r="G27" s="188"/>
      <c r="H27" s="188"/>
      <c r="I27" s="191"/>
      <c r="J27" s="188"/>
    </row>
    <row r="28" spans="2:12" ht="15" customHeight="1">
      <c r="B28" s="439" t="s">
        <v>211</v>
      </c>
      <c r="C28" s="439"/>
      <c r="D28" s="439"/>
      <c r="E28" s="439"/>
      <c r="F28" s="439"/>
      <c r="G28" s="439"/>
      <c r="H28" s="439"/>
      <c r="I28" s="439"/>
      <c r="J28" s="439"/>
    </row>
    <row r="29" spans="2:12" ht="15" customHeight="1">
      <c r="B29" s="442" t="s">
        <v>56</v>
      </c>
      <c r="C29" s="444"/>
      <c r="D29" s="440"/>
      <c r="E29" s="441"/>
      <c r="F29" s="442" t="s">
        <v>199</v>
      </c>
      <c r="G29" s="443"/>
      <c r="H29" s="444"/>
      <c r="I29" s="270"/>
      <c r="J29" s="184" t="s">
        <v>223</v>
      </c>
    </row>
    <row r="30" spans="2:12" ht="15" customHeight="1">
      <c r="B30" s="435" t="s">
        <v>212</v>
      </c>
      <c r="C30" s="435"/>
      <c r="D30" s="271" t="e">
        <f>VLOOKUP($D$29,'Fuel Properties'!$A$7:$L$13,2,FALSE)</f>
        <v>#N/A</v>
      </c>
      <c r="E30" s="192" t="s">
        <v>39</v>
      </c>
      <c r="F30" s="435" t="s">
        <v>213</v>
      </c>
      <c r="G30" s="435"/>
      <c r="H30" s="435"/>
      <c r="I30" s="271" t="e">
        <f>VLOOKUP($D$29,'Fuel Properties'!$A$7:$L$13,3,FALSE)</f>
        <v>#N/A</v>
      </c>
      <c r="J30" s="178" t="s">
        <v>38</v>
      </c>
    </row>
    <row r="31" spans="2:12" ht="15" customHeight="1">
      <c r="B31" s="445" t="s">
        <v>214</v>
      </c>
      <c r="C31" s="446"/>
      <c r="D31" s="271" t="e">
        <f>VLOOKUP($D$29,'Fuel Properties'!$A$7:$L$13,4,FALSE)</f>
        <v>#N/A</v>
      </c>
      <c r="E31" s="178" t="s">
        <v>37</v>
      </c>
      <c r="F31" s="435" t="s">
        <v>215</v>
      </c>
      <c r="G31" s="435"/>
      <c r="H31" s="435"/>
      <c r="I31" s="271" t="e">
        <f>VLOOKUP($D$29,'Fuel Properties'!$A$7:$L$13,5,FALSE)</f>
        <v>#N/A</v>
      </c>
      <c r="J31" s="178" t="s">
        <v>221</v>
      </c>
    </row>
    <row r="32" spans="2:12" ht="15" customHeight="1">
      <c r="B32" s="435" t="s">
        <v>216</v>
      </c>
      <c r="C32" s="435"/>
      <c r="D32" s="271" t="e">
        <f>VLOOKUP($D$29,'Fuel Properties'!$A$7:$L$13,6,FALSE)</f>
        <v>#N/A</v>
      </c>
      <c r="E32" s="192" t="s">
        <v>222</v>
      </c>
      <c r="F32" s="435" t="s">
        <v>217</v>
      </c>
      <c r="G32" s="435"/>
      <c r="H32" s="435"/>
      <c r="I32" s="271" t="e">
        <f>VLOOKUP($D$29,'Fuel Properties'!$A$7:$L$13,7,FALSE)</f>
        <v>#N/A</v>
      </c>
      <c r="J32" s="178"/>
    </row>
    <row r="33" spans="1:13" ht="15" customHeight="1">
      <c r="B33" s="435" t="s">
        <v>218</v>
      </c>
      <c r="C33" s="435"/>
      <c r="D33" s="271" t="e">
        <f>VLOOKUP($D$29,'Fuel Properties'!$A$7:$L$13,8,FALSE)</f>
        <v>#N/A</v>
      </c>
      <c r="E33" s="192"/>
      <c r="F33" s="435" t="s">
        <v>219</v>
      </c>
      <c r="G33" s="435"/>
      <c r="H33" s="435"/>
      <c r="I33" s="272" t="e">
        <f>VLOOKUP($D$29,'Fuel Properties'!$A$7:$L$13,9,FALSE)</f>
        <v>#N/A</v>
      </c>
      <c r="J33" s="178" t="s">
        <v>169</v>
      </c>
    </row>
    <row r="34" spans="1:13" ht="15" customHeight="1">
      <c r="B34" s="454" t="s">
        <v>220</v>
      </c>
      <c r="C34" s="455"/>
      <c r="D34" s="267" t="e">
        <f>VLOOKUP($D$29,'Fuel Properties'!$A$7:$L$13,10,FALSE)</f>
        <v>#N/A</v>
      </c>
      <c r="E34" s="185" t="s">
        <v>234</v>
      </c>
      <c r="F34" s="435" t="s">
        <v>235</v>
      </c>
      <c r="G34" s="435"/>
      <c r="H34" s="435"/>
      <c r="I34" s="271" t="e">
        <f>VLOOKUP($D$29,'Fuel Properties'!$A$7:$L$13,11,FALSE)</f>
        <v>#N/A</v>
      </c>
      <c r="J34" s="192" t="s">
        <v>222</v>
      </c>
    </row>
    <row r="35" spans="1:13" ht="15" customHeight="1">
      <c r="B35" s="435" t="s">
        <v>236</v>
      </c>
      <c r="C35" s="435"/>
      <c r="D35" s="271" t="e">
        <f>VLOOKUP($D$29,'Fuel Properties'!$A$7:$L$13,12,FALSE)</f>
        <v>#N/A</v>
      </c>
      <c r="E35" s="192" t="s">
        <v>222</v>
      </c>
      <c r="F35" s="273"/>
      <c r="G35" s="273"/>
      <c r="H35" s="273"/>
      <c r="I35" s="179"/>
      <c r="J35" s="273"/>
    </row>
    <row r="36" spans="1:13" ht="15" customHeight="1">
      <c r="B36" s="188"/>
      <c r="C36" s="188"/>
      <c r="D36" s="193"/>
      <c r="E36" s="188"/>
      <c r="F36" s="188"/>
      <c r="G36" s="188"/>
      <c r="H36" s="188"/>
      <c r="I36" s="191"/>
      <c r="J36" s="188"/>
    </row>
    <row r="37" spans="1:13" ht="15" customHeight="1">
      <c r="B37" s="439" t="s">
        <v>197</v>
      </c>
      <c r="C37" s="439"/>
      <c r="D37" s="439"/>
      <c r="E37" s="439"/>
      <c r="F37" s="439"/>
      <c r="G37" s="439"/>
      <c r="H37" s="439"/>
      <c r="I37" s="439"/>
      <c r="J37" s="439"/>
    </row>
    <row r="38" spans="1:13" ht="15" customHeight="1">
      <c r="B38" s="426" t="s">
        <v>175</v>
      </c>
      <c r="C38" s="426"/>
      <c r="D38" s="274">
        <f ca="1">(D15*I15*I21)/(D16*(I19+460))</f>
        <v>0</v>
      </c>
      <c r="E38" s="194"/>
      <c r="F38" s="426" t="s">
        <v>172</v>
      </c>
      <c r="G38" s="426"/>
      <c r="H38" s="426"/>
      <c r="I38" s="275" t="e">
        <f ca="1">D38/(F49*I6)/(I7/F49-1)*0.00006</f>
        <v>#DIV/0!</v>
      </c>
      <c r="J38" s="194" t="s">
        <v>164</v>
      </c>
    </row>
    <row r="39" spans="1:13" ht="15" customHeight="1">
      <c r="B39" s="435" t="s">
        <v>173</v>
      </c>
      <c r="C39" s="435"/>
      <c r="D39" s="276" t="e">
        <f ca="1">D38/(F49*I6)/(1-F49/I7)*0.00006</f>
        <v>#DIV/0!</v>
      </c>
      <c r="E39" s="175" t="s">
        <v>164</v>
      </c>
      <c r="F39" s="435" t="s">
        <v>174</v>
      </c>
      <c r="G39" s="435"/>
      <c r="H39" s="435"/>
      <c r="I39" s="277" t="e">
        <f ca="1">D38/(F49*I6)*0.00006</f>
        <v>#DIV/0!</v>
      </c>
      <c r="J39" s="175" t="s">
        <v>164</v>
      </c>
    </row>
    <row r="40" spans="1:13" ht="15" customHeight="1">
      <c r="B40" s="188"/>
      <c r="C40" s="188"/>
      <c r="D40" s="154"/>
      <c r="E40" s="182"/>
      <c r="F40" s="188"/>
      <c r="G40" s="188"/>
      <c r="H40" s="188"/>
      <c r="I40" s="155"/>
      <c r="J40" s="182"/>
    </row>
    <row r="41" spans="1:13" ht="15" customHeight="1">
      <c r="B41" s="188"/>
      <c r="C41" s="188"/>
      <c r="D41" s="154"/>
      <c r="E41" s="182"/>
      <c r="F41" s="188"/>
      <c r="G41" s="188"/>
      <c r="H41" s="188"/>
      <c r="I41" s="155"/>
      <c r="J41" s="182"/>
    </row>
    <row r="42" spans="1:13" ht="15" customHeight="1">
      <c r="B42" s="188"/>
      <c r="C42" s="188"/>
      <c r="D42" s="154"/>
      <c r="E42" s="182"/>
      <c r="F42" s="188"/>
      <c r="G42" s="188"/>
      <c r="H42" s="188"/>
      <c r="I42" s="155"/>
      <c r="J42" s="182"/>
    </row>
    <row r="43" spans="1:13" ht="30" customHeight="1">
      <c r="A43" s="425" t="s">
        <v>124</v>
      </c>
      <c r="B43" s="425"/>
      <c r="C43" s="425"/>
      <c r="D43" s="425"/>
      <c r="E43" s="425"/>
      <c r="F43" s="425"/>
      <c r="G43" s="425"/>
      <c r="H43" s="425"/>
      <c r="I43" s="425"/>
      <c r="J43" s="425"/>
      <c r="K43" s="425"/>
    </row>
    <row r="44" spans="1:13" ht="15" customHeight="1"/>
    <row r="45" spans="1:13" ht="15" customHeight="1">
      <c r="B45" s="439" t="s">
        <v>57</v>
      </c>
      <c r="C45" s="439"/>
      <c r="D45" s="439"/>
      <c r="E45" s="439"/>
      <c r="F45" s="439"/>
      <c r="G45" s="439"/>
      <c r="H45" s="439"/>
      <c r="I45" s="439"/>
      <c r="J45" s="439"/>
    </row>
    <row r="46" spans="1:13" ht="15" customHeight="1">
      <c r="B46" s="452"/>
      <c r="C46" s="449" t="s">
        <v>100</v>
      </c>
      <c r="D46" s="450"/>
      <c r="E46" s="450"/>
      <c r="F46" s="451"/>
      <c r="G46" s="449" t="s">
        <v>82</v>
      </c>
      <c r="H46" s="450"/>
      <c r="I46" s="450"/>
      <c r="J46" s="451"/>
      <c r="M46" s="195"/>
    </row>
    <row r="47" spans="1:13" ht="15" customHeight="1">
      <c r="B47" s="453"/>
      <c r="C47" s="196" t="s">
        <v>51</v>
      </c>
      <c r="D47" s="197" t="s">
        <v>81</v>
      </c>
      <c r="E47" s="196" t="s">
        <v>50</v>
      </c>
      <c r="F47" s="197" t="s">
        <v>80</v>
      </c>
      <c r="G47" s="196" t="s">
        <v>51</v>
      </c>
      <c r="H47" s="197" t="s">
        <v>81</v>
      </c>
      <c r="I47" s="196" t="s">
        <v>50</v>
      </c>
      <c r="J47" s="197" t="s">
        <v>80</v>
      </c>
    </row>
    <row r="48" spans="1:13" ht="15" customHeight="1">
      <c r="B48" s="198" t="s">
        <v>79</v>
      </c>
      <c r="C48" s="199"/>
      <c r="D48" s="199"/>
      <c r="E48" s="199"/>
      <c r="F48" s="199"/>
      <c r="G48" s="199"/>
      <c r="H48" s="199"/>
      <c r="I48" s="199"/>
      <c r="J48" s="200"/>
    </row>
    <row r="49" spans="2:10" ht="15" customHeight="1">
      <c r="B49" s="201" t="s">
        <v>78</v>
      </c>
      <c r="C49" s="156">
        <v>1</v>
      </c>
      <c r="D49" s="157">
        <v>0.7</v>
      </c>
      <c r="E49" s="157">
        <v>0.4</v>
      </c>
      <c r="F49" s="158">
        <v>0.1</v>
      </c>
      <c r="G49" s="118">
        <f>C49</f>
        <v>1</v>
      </c>
      <c r="H49" s="119">
        <f>D49</f>
        <v>0.7</v>
      </c>
      <c r="I49" s="119">
        <f>E49</f>
        <v>0.4</v>
      </c>
      <c r="J49" s="120">
        <f>F49</f>
        <v>0.1</v>
      </c>
    </row>
    <row r="50" spans="2:10" ht="15" customHeight="1">
      <c r="B50" s="202" t="s">
        <v>237</v>
      </c>
      <c r="C50" s="63" t="str">
        <f>IF(C51=0,"-",C49*$I$6)</f>
        <v>-</v>
      </c>
      <c r="D50" s="64" t="str">
        <f>IF(D51=0,"-",D49*$I$6)</f>
        <v>-</v>
      </c>
      <c r="E50" s="64" t="str">
        <f>IF(E51=0,"-",E49*$I$6)</f>
        <v>-</v>
      </c>
      <c r="F50" s="65" t="str">
        <f>IF(F51=0,"-",F49*$I$6)</f>
        <v>-</v>
      </c>
      <c r="G50" s="63" t="str">
        <f>IF(G51=0,"-",IF(ISERROR(G72)=TRUE,C50,C50*C72/G72))</f>
        <v>-</v>
      </c>
      <c r="H50" s="64" t="str">
        <f>IF(H51=0,"-",IF(ISERROR(H72)=TRUE,D50,D50*D72/H72))</f>
        <v>-</v>
      </c>
      <c r="I50" s="64" t="str">
        <f>IF(I51=0,"-",IF(ISERROR(I72)=TRUE,E50,E50*E72/I72))</f>
        <v>-</v>
      </c>
      <c r="J50" s="65" t="str">
        <f>IF(J51=0,"-",IF(ISERROR(J72)=TRUE,F50,F50*F72/J72))</f>
        <v>-</v>
      </c>
    </row>
    <row r="51" spans="2:10" ht="15" customHeight="1">
      <c r="B51" s="201" t="s">
        <v>77</v>
      </c>
      <c r="C51" s="159">
        <v>0</v>
      </c>
      <c r="D51" s="160">
        <v>0</v>
      </c>
      <c r="E51" s="160">
        <v>0</v>
      </c>
      <c r="F51" s="161">
        <v>0</v>
      </c>
      <c r="G51" s="121">
        <f>C51</f>
        <v>0</v>
      </c>
      <c r="H51" s="122">
        <f>D51</f>
        <v>0</v>
      </c>
      <c r="I51" s="122">
        <f>E51</f>
        <v>0</v>
      </c>
      <c r="J51" s="123">
        <f>F51</f>
        <v>0</v>
      </c>
    </row>
    <row r="52" spans="2:10" ht="15" customHeight="1">
      <c r="B52" s="203" t="s">
        <v>238</v>
      </c>
      <c r="C52" s="37" t="str">
        <f>IF(C51=0,"-",C51*C50)</f>
        <v>-</v>
      </c>
      <c r="D52" s="38" t="str">
        <f>IF(D51=0,"-",D51*D50)</f>
        <v>-</v>
      </c>
      <c r="E52" s="38" t="str">
        <f>IF(E51=0,"-",E51*E50)</f>
        <v>-</v>
      </c>
      <c r="F52" s="39" t="str">
        <f>IF(F51=0,"-",F51*F50)</f>
        <v>-</v>
      </c>
      <c r="G52" s="37" t="str">
        <f>IF(G51=0,"-",C52*C72/G72)</f>
        <v>-</v>
      </c>
      <c r="H52" s="38" t="str">
        <f>IF(H51=0,"-",D52*D72/H72)</f>
        <v>-</v>
      </c>
      <c r="I52" s="38" t="str">
        <f>IF(I51=0,"-",E52*E72/I72)</f>
        <v>-</v>
      </c>
      <c r="J52" s="39" t="str">
        <f>IF(J51=0,"-",F52*F72/J72)</f>
        <v>-</v>
      </c>
    </row>
    <row r="53" spans="2:10" ht="15" customHeight="1">
      <c r="B53" s="204" t="s">
        <v>76</v>
      </c>
      <c r="C53" s="132"/>
      <c r="D53" s="132"/>
      <c r="E53" s="132"/>
      <c r="F53" s="132"/>
      <c r="G53" s="132"/>
      <c r="H53" s="132"/>
      <c r="I53" s="132"/>
      <c r="J53" s="133"/>
    </row>
    <row r="54" spans="2:10" ht="15" customHeight="1">
      <c r="B54" s="201" t="s">
        <v>75</v>
      </c>
      <c r="C54" s="162" t="s">
        <v>71</v>
      </c>
      <c r="D54" s="163" t="s">
        <v>71</v>
      </c>
      <c r="E54" s="163" t="s">
        <v>71</v>
      </c>
      <c r="F54" s="164" t="s">
        <v>71</v>
      </c>
      <c r="G54" s="124" t="str">
        <f>IF(C51=0,"-",MIN(I34,C54))</f>
        <v>-</v>
      </c>
      <c r="H54" s="125" t="str">
        <f>IF(D51=0,"-",MIN(I34,D54))</f>
        <v>-</v>
      </c>
      <c r="I54" s="125" t="str">
        <f>IF(E51=0,"-",MIN(D35,E54))</f>
        <v>-</v>
      </c>
      <c r="J54" s="126" t="str">
        <f>IF(F51=0,"-",MIN(D35,F54))</f>
        <v>-</v>
      </c>
    </row>
    <row r="55" spans="2:10" ht="15" customHeight="1">
      <c r="B55" s="202" t="s">
        <v>74</v>
      </c>
      <c r="C55" s="165" t="s">
        <v>71</v>
      </c>
      <c r="D55" s="166" t="s">
        <v>71</v>
      </c>
      <c r="E55" s="166" t="s">
        <v>71</v>
      </c>
      <c r="F55" s="167" t="s">
        <v>71</v>
      </c>
      <c r="G55" s="52" t="str">
        <f>IF(G51=0,"-",(1-G54)*($D$30*$D$34/12.01)/(($D$30*$D$34/12.01)+($I$30*$D$34/32)+((((($D$30*$D$34/12.01)+2*($I$30*$D$34/32))/(1-G54)+0.25*($D$31*$D$34/1.008)-($D$32*$D$34/32)+($I$31*$D$34/28.016)/3.76)/(1/3.76-G54/(1-G54))))))</f>
        <v>-</v>
      </c>
      <c r="H55" s="53" t="str">
        <f>IF(H51=0,"-",(1-H54)*($D$30*$D$34/12.01)/(($D$30*$D$34/12.01)+($I$30*$D$34/32)+((((($D$30*$D$34/12.01)+2*($I$30*$D$34/32))/(1-H54)+0.25*($D$31*$D$34/1.008)-($D$32*$D$34/32)+($I$31*$D$34/28.016)/3.76)/(1/3.76-H54/(1-H54))))))</f>
        <v>-</v>
      </c>
      <c r="I55" s="53" t="str">
        <f>IF(I51=0,"-",(1-I54)*($D$30*$D$34/12.01)/(($D$30*$D$34/12.01)+($I$30*$D$34/32)+((((($D$30*$D$34/12.01)+2*($I$30*$D$34/32))/(1-I54)+0.25*($D$31*$D$34/1.008)-($D$32*$D$34/32)+($I$31*$D$34/28.016)/3.76)/(1/3.76-I54/(1-I54))))))</f>
        <v>-</v>
      </c>
      <c r="J55" s="54" t="str">
        <f>IF(J51=0,"-",(1-J54)*($D$30*$D$34/12.01)/(($D$30*$D$34/12.01)+($I$30*$D$34/32)+((((($D$30*$D$34/12.01)+2*($I$30*$D$34/32))/(1-J54)+0.25*($D$31*$D$34/1.008)-($D$32*$D$34/32)+($I$31*$D$34/28.016)/3.76)/(1/3.76-J54/(1-J54))))))</f>
        <v>-</v>
      </c>
    </row>
    <row r="56" spans="2:10" ht="15" customHeight="1">
      <c r="B56" s="201" t="s">
        <v>73</v>
      </c>
      <c r="C56" s="168" t="s">
        <v>71</v>
      </c>
      <c r="D56" s="169" t="s">
        <v>71</v>
      </c>
      <c r="E56" s="169" t="s">
        <v>71</v>
      </c>
      <c r="F56" s="170" t="s">
        <v>71</v>
      </c>
      <c r="G56" s="383" t="str">
        <f>IF(G51=0,"-",C56)</f>
        <v>-</v>
      </c>
      <c r="H56" s="384" t="str">
        <f>IF(H51=0,"-",D56)</f>
        <v>-</v>
      </c>
      <c r="I56" s="384" t="str">
        <f>IF(I51=0,"-",E56)</f>
        <v>-</v>
      </c>
      <c r="J56" s="385" t="str">
        <f>IF(J51=0,"-",F56)</f>
        <v>-</v>
      </c>
    </row>
    <row r="57" spans="2:10" ht="15" customHeight="1">
      <c r="B57" s="202" t="s">
        <v>72</v>
      </c>
      <c r="C57" s="171" t="s">
        <v>71</v>
      </c>
      <c r="D57" s="172" t="s">
        <v>71</v>
      </c>
      <c r="E57" s="172" t="s">
        <v>71</v>
      </c>
      <c r="F57" s="173" t="s">
        <v>71</v>
      </c>
      <c r="G57" s="55" t="str">
        <f>IF(G51=0,"-",MIN(C57,$I$19+100))</f>
        <v>-</v>
      </c>
      <c r="H57" s="56" t="str">
        <f>IF(H51=0,"-",MIN(D57,$I$19+100))</f>
        <v>-</v>
      </c>
      <c r="I57" s="56" t="str">
        <f>IF(I51=0,"-",MIN(E57,$I$19+100))</f>
        <v>-</v>
      </c>
      <c r="J57" s="57" t="str">
        <f>IF(J51=0,"-",MIN(F57,$I$19+100))</f>
        <v>-</v>
      </c>
    </row>
    <row r="58" spans="2:10" ht="15" customHeight="1">
      <c r="B58" s="201" t="s">
        <v>70</v>
      </c>
      <c r="C58" s="127" t="str">
        <f t="shared" ref="C58:J58" si="0">IF(C51=0,"-",C57-$D$10)</f>
        <v>-</v>
      </c>
      <c r="D58" s="58" t="str">
        <f t="shared" si="0"/>
        <v>-</v>
      </c>
      <c r="E58" s="58" t="str">
        <f t="shared" si="0"/>
        <v>-</v>
      </c>
      <c r="F58" s="128" t="str">
        <f t="shared" si="0"/>
        <v>-</v>
      </c>
      <c r="G58" s="127" t="str">
        <f t="shared" si="0"/>
        <v>-</v>
      </c>
      <c r="H58" s="58" t="str">
        <f t="shared" si="0"/>
        <v>-</v>
      </c>
      <c r="I58" s="58" t="str">
        <f t="shared" si="0"/>
        <v>-</v>
      </c>
      <c r="J58" s="128" t="str">
        <f t="shared" si="0"/>
        <v>-</v>
      </c>
    </row>
    <row r="59" spans="2:10" ht="15" customHeight="1">
      <c r="B59" s="198" t="s">
        <v>69</v>
      </c>
      <c r="C59" s="134"/>
      <c r="D59" s="134"/>
      <c r="E59" s="134"/>
      <c r="F59" s="134"/>
      <c r="G59" s="134"/>
      <c r="H59" s="134"/>
      <c r="I59" s="134"/>
      <c r="J59" s="135"/>
    </row>
    <row r="60" spans="2:10" ht="15" customHeight="1">
      <c r="B60" s="25" t="s">
        <v>68</v>
      </c>
      <c r="C60" s="40" t="str">
        <f>IF(C51=0,"-",C50/$I$33*1000000/60/(1-$D$33))</f>
        <v>-</v>
      </c>
      <c r="D60" s="41" t="str">
        <f t="shared" ref="D60:J60" si="1">IF(D51=0,"-",D50/$I$33*1000000/60/(1-$D$33))</f>
        <v>-</v>
      </c>
      <c r="E60" s="41" t="str">
        <f>IF(E51=0,"-",E50/$I$33*1000000/60/(1-$D$33))</f>
        <v>-</v>
      </c>
      <c r="F60" s="42" t="str">
        <f t="shared" si="1"/>
        <v>-</v>
      </c>
      <c r="G60" s="40" t="str">
        <f t="shared" si="1"/>
        <v>-</v>
      </c>
      <c r="H60" s="41" t="str">
        <f>IF(H51=0,"-",H50/$I$33*1000000/60/(1-$D$33))</f>
        <v>-</v>
      </c>
      <c r="I60" s="41" t="str">
        <f t="shared" si="1"/>
        <v>-</v>
      </c>
      <c r="J60" s="42" t="str">
        <f t="shared" si="1"/>
        <v>-</v>
      </c>
    </row>
    <row r="61" spans="2:10" ht="15" customHeight="1">
      <c r="B61" s="203" t="s">
        <v>67</v>
      </c>
      <c r="C61" s="43" t="str">
        <f>IF(C51=0,"-",C60*4.76*28.96/$D$34*((1-C54)*(($D$30*$D$34/12.01)-($D$32*$D$34/32)+0.25*($D$31*$D$34/1.008))+C54*(($D$30*$D$34/12.01)+2*($I$30*$D$34/64)))/(1-2.76*C54))</f>
        <v>-</v>
      </c>
      <c r="D61" s="44" t="str">
        <f t="shared" ref="D61:I61" si="2">IF(D51=0,"-",D60*4.76*28.96/$D$34*((1-D54)*(($D$30*$D$34/12.01)-($D$32*$D$34/32)+0.25*($D$31*$D$34/1.008))+D54*(($D$30*$D$34/12.01)+2*($I$30*$D$34/64)))/(1-2.76*D54))</f>
        <v>-</v>
      </c>
      <c r="E61" s="44" t="str">
        <f t="shared" si="2"/>
        <v>-</v>
      </c>
      <c r="F61" s="45" t="str">
        <f t="shared" si="2"/>
        <v>-</v>
      </c>
      <c r="G61" s="43" t="str">
        <f>IF(G51=0,"-",G60*4.76*28.96/$D$34*((1-G54)*(($D$30*$D$34/12.01)-($D$32*$D$34/32)+0.25*($D$31*$D$34/1.008))+G54*(($D$30*$D$34/12.01)+2*($I$30*$D$34/64)))/(1-2.76*G54))</f>
        <v>-</v>
      </c>
      <c r="H61" s="44" t="str">
        <f t="shared" si="2"/>
        <v>-</v>
      </c>
      <c r="I61" s="44" t="str">
        <f t="shared" si="2"/>
        <v>-</v>
      </c>
      <c r="J61" s="45" t="str">
        <f>IF(J51=0,"-",J60*4.76*28.96/$D$34*((1-J54)*(($D$30*$D$34/12.01)-($D$32*$D$34/32)+0.25*($D$31*$D$34/1.008))+J54*(($D$30*$D$34/12.01)+2*($I$30*$D$34/64)))/(1-2.76*J54))</f>
        <v>-</v>
      </c>
    </row>
    <row r="62" spans="2:10" ht="15" customHeight="1">
      <c r="B62" s="198" t="s">
        <v>66</v>
      </c>
      <c r="C62" s="136"/>
      <c r="D62" s="136"/>
      <c r="E62" s="136"/>
      <c r="F62" s="136"/>
      <c r="G62" s="136"/>
      <c r="H62" s="136"/>
      <c r="I62" s="136"/>
      <c r="J62" s="137"/>
    </row>
    <row r="63" spans="2:10" ht="15" customHeight="1">
      <c r="B63" s="201" t="s">
        <v>65</v>
      </c>
      <c r="C63" s="129" t="str">
        <f>IF(C51=0,"-",(44.01*C55+32*C54+28.02*(1-C55-C54-C56*0.000001)+28.01*0.000001*C56)/(12.01*(C56*0.000001+C55))*($D$30+$I$30*12.01/32.07)*0.24*C58/$I$33)</f>
        <v>-</v>
      </c>
      <c r="D63" s="130" t="str">
        <f t="shared" ref="D63:J63" si="3">IF(D51=0,"-",(44.01*D55+32*D54+28.02*(1-D55-D54-D56*0.000001)+28.01*0.000001*D56)/(12.01*(D56*0.000001+D55))*($D$30+$I$30*12.01/32.07)*0.24*D58/$I$33)</f>
        <v>-</v>
      </c>
      <c r="E63" s="130" t="str">
        <f t="shared" si="3"/>
        <v>-</v>
      </c>
      <c r="F63" s="131" t="str">
        <f t="shared" si="3"/>
        <v>-</v>
      </c>
      <c r="G63" s="129" t="str">
        <f t="shared" si="3"/>
        <v>-</v>
      </c>
      <c r="H63" s="130" t="str">
        <f t="shared" si="3"/>
        <v>-</v>
      </c>
      <c r="I63" s="130" t="str">
        <f>IF(I51=0,"-",(44.01*I55+32*I54+28.02*(1-I55-I54-I56*0.000001)+28.01*0.000001*I56)/(12.01*(I56*0.000001+I55))*($D$30+$I$30*12.01/32.07)*0.24*I58/$I$33)</f>
        <v>-</v>
      </c>
      <c r="J63" s="131" t="str">
        <f t="shared" si="3"/>
        <v>-</v>
      </c>
    </row>
    <row r="64" spans="2:10" ht="15" customHeight="1">
      <c r="B64" s="202" t="s">
        <v>64</v>
      </c>
      <c r="C64" s="46" t="str">
        <f>IF(C51=0,"-",8.936*(0.445*C57+1060.7-($D$10-32))*$D$31/$I$33)</f>
        <v>-</v>
      </c>
      <c r="D64" s="47" t="str">
        <f t="shared" ref="D64:J64" si="4">IF(D51=0,"-",8.936*(0.445*D57+1060.7-($D$10-32))*$D$31/$I$33)</f>
        <v>-</v>
      </c>
      <c r="E64" s="47" t="str">
        <f t="shared" si="4"/>
        <v>-</v>
      </c>
      <c r="F64" s="48" t="str">
        <f t="shared" si="4"/>
        <v>-</v>
      </c>
      <c r="G64" s="46" t="str">
        <f t="shared" si="4"/>
        <v>-</v>
      </c>
      <c r="H64" s="47" t="str">
        <f t="shared" si="4"/>
        <v>-</v>
      </c>
      <c r="I64" s="47" t="str">
        <f>IF(I51=0,"-",8.936*(0.445*I57+1060.7-($D$10-32))*$D$31/$I$33)</f>
        <v>-</v>
      </c>
      <c r="J64" s="48" t="str">
        <f t="shared" si="4"/>
        <v>-</v>
      </c>
    </row>
    <row r="65" spans="2:10" ht="15" customHeight="1">
      <c r="B65" s="201" t="s">
        <v>63</v>
      </c>
      <c r="C65" s="129" t="str">
        <f>IF(C51=0,"-",IF($D$33=0,0,($D$33*(0.445*C57+1060.7-($D$10-32)))/$I$33))</f>
        <v>-</v>
      </c>
      <c r="D65" s="130" t="str">
        <f t="shared" ref="D65:J65" si="5">IF(D51=0,"-",IF($D$33=0,0,($D$33*(0.445*D57+1060.7-($D$10-32)))/$I$33))</f>
        <v>-</v>
      </c>
      <c r="E65" s="130" t="str">
        <f t="shared" si="5"/>
        <v>-</v>
      </c>
      <c r="F65" s="131" t="str">
        <f t="shared" si="5"/>
        <v>-</v>
      </c>
      <c r="G65" s="129" t="str">
        <f t="shared" si="5"/>
        <v>-</v>
      </c>
      <c r="H65" s="130" t="str">
        <f t="shared" si="5"/>
        <v>-</v>
      </c>
      <c r="I65" s="130" t="str">
        <f>IF(I51=0,"-",IF($D$33=0,0,($D$33*(0.445*I57+1060.7-($D$10-32)))/$I$33))</f>
        <v>-</v>
      </c>
      <c r="J65" s="131" t="str">
        <f t="shared" si="5"/>
        <v>-</v>
      </c>
    </row>
    <row r="66" spans="2:10" ht="15" customHeight="1">
      <c r="B66" s="202" t="s">
        <v>62</v>
      </c>
      <c r="C66" s="46" t="str">
        <f>IF(C51=0,"-",C56*0.000001/(C56*0.000001+C55)*10160*$D$30/$I$33)</f>
        <v>-</v>
      </c>
      <c r="D66" s="47" t="str">
        <f t="shared" ref="D66:J66" si="6">IF(D51=0,"-",D56*0.000001/(D56*0.000001+D55)*10160*$D$30/$I$33)</f>
        <v>-</v>
      </c>
      <c r="E66" s="47" t="str">
        <f t="shared" si="6"/>
        <v>-</v>
      </c>
      <c r="F66" s="48" t="str">
        <f t="shared" si="6"/>
        <v>-</v>
      </c>
      <c r="G66" s="46" t="str">
        <f t="shared" si="6"/>
        <v>-</v>
      </c>
      <c r="H66" s="47" t="str">
        <f t="shared" si="6"/>
        <v>-</v>
      </c>
      <c r="I66" s="47" t="str">
        <f t="shared" si="6"/>
        <v>-</v>
      </c>
      <c r="J66" s="48" t="str">
        <f t="shared" si="6"/>
        <v>-</v>
      </c>
    </row>
    <row r="67" spans="2:10" ht="15" customHeight="1">
      <c r="B67" s="201" t="s">
        <v>61</v>
      </c>
      <c r="C67" s="129" t="str">
        <f>IF(C51=0,"-",$I$32)</f>
        <v>-</v>
      </c>
      <c r="D67" s="130" t="str">
        <f t="shared" ref="D67:J67" si="7">IF(D51=0,"-",$I$32)</f>
        <v>-</v>
      </c>
      <c r="E67" s="130" t="str">
        <f t="shared" si="7"/>
        <v>-</v>
      </c>
      <c r="F67" s="131" t="str">
        <f t="shared" si="7"/>
        <v>-</v>
      </c>
      <c r="G67" s="129" t="str">
        <f t="shared" si="7"/>
        <v>-</v>
      </c>
      <c r="H67" s="130" t="str">
        <f t="shared" si="7"/>
        <v>-</v>
      </c>
      <c r="I67" s="130" t="str">
        <f t="shared" si="7"/>
        <v>-</v>
      </c>
      <c r="J67" s="131" t="str">
        <f t="shared" si="7"/>
        <v>-</v>
      </c>
    </row>
    <row r="68" spans="2:10" ht="15" customHeight="1">
      <c r="B68" s="202" t="s">
        <v>60</v>
      </c>
      <c r="C68" s="46" t="str">
        <f>IF(C51=0,"-",(0.445*C57+1060.7-($D$10-32))*$D$12*(C61/C60)/$I$33)</f>
        <v>-</v>
      </c>
      <c r="D68" s="47" t="str">
        <f t="shared" ref="D68:J68" si="8">IF(D51=0,"-",(0.445*D57+1060.7-($D$10-32))*$D$12*(D61/D60)/$I$33)</f>
        <v>-</v>
      </c>
      <c r="E68" s="47" t="str">
        <f t="shared" si="8"/>
        <v>-</v>
      </c>
      <c r="F68" s="48" t="str">
        <f t="shared" si="8"/>
        <v>-</v>
      </c>
      <c r="G68" s="46" t="str">
        <f t="shared" si="8"/>
        <v>-</v>
      </c>
      <c r="H68" s="47" t="str">
        <f t="shared" si="8"/>
        <v>-</v>
      </c>
      <c r="I68" s="47" t="str">
        <f t="shared" si="8"/>
        <v>-</v>
      </c>
      <c r="J68" s="48" t="str">
        <f t="shared" si="8"/>
        <v>-</v>
      </c>
    </row>
    <row r="69" spans="2:10" ht="15" customHeight="1">
      <c r="B69" s="201" t="s">
        <v>59</v>
      </c>
      <c r="C69" s="129" t="str">
        <f t="shared" ref="C69:I69" si="9">IF(C51=0,"-",1-C63-C64-C65-C66-C67-C68)</f>
        <v>-</v>
      </c>
      <c r="D69" s="130" t="str">
        <f t="shared" si="9"/>
        <v>-</v>
      </c>
      <c r="E69" s="130" t="str">
        <f t="shared" si="9"/>
        <v>-</v>
      </c>
      <c r="F69" s="131" t="str">
        <f t="shared" si="9"/>
        <v>-</v>
      </c>
      <c r="G69" s="129" t="str">
        <f>IF(G51=0,"-",1-G63-G64-G65-G66-G67-G68)</f>
        <v>-</v>
      </c>
      <c r="H69" s="130" t="str">
        <f t="shared" si="9"/>
        <v>-</v>
      </c>
      <c r="I69" s="130" t="str">
        <f t="shared" si="9"/>
        <v>-</v>
      </c>
      <c r="J69" s="131" t="str">
        <f>IF(J51=0,"-",1-J63-J64-J65-J66-J67-J68)</f>
        <v>-</v>
      </c>
    </row>
    <row r="70" spans="2:10" ht="15" customHeight="1">
      <c r="B70" s="202" t="s">
        <v>98</v>
      </c>
      <c r="C70" s="46" t="str">
        <f t="shared" ref="C70:J70" si="10">IF(C51=0,"-",(0.359+18.2842/$I$6-7.1088/$I$6^2)/100/C49)</f>
        <v>-</v>
      </c>
      <c r="D70" s="47" t="str">
        <f t="shared" si="10"/>
        <v>-</v>
      </c>
      <c r="E70" s="47" t="str">
        <f t="shared" si="10"/>
        <v>-</v>
      </c>
      <c r="F70" s="48" t="str">
        <f t="shared" si="10"/>
        <v>-</v>
      </c>
      <c r="G70" s="46" t="str">
        <f t="shared" si="10"/>
        <v>-</v>
      </c>
      <c r="H70" s="47" t="str">
        <f t="shared" si="10"/>
        <v>-</v>
      </c>
      <c r="I70" s="47" t="str">
        <f t="shared" si="10"/>
        <v>-</v>
      </c>
      <c r="J70" s="48" t="str">
        <f t="shared" si="10"/>
        <v>-</v>
      </c>
    </row>
    <row r="71" spans="2:10" ht="15" customHeight="1">
      <c r="B71" s="201" t="s">
        <v>58</v>
      </c>
      <c r="C71" s="129" t="s">
        <v>71</v>
      </c>
      <c r="D71" s="130" t="s">
        <v>71</v>
      </c>
      <c r="E71" s="130" t="s">
        <v>71</v>
      </c>
      <c r="F71" s="131" t="str">
        <f>IF(F51=0,"-",D61*0.252*D11*(I19-D10)*2*D7/D6*(F49&lt;I7)/(1000000*F50))</f>
        <v>-</v>
      </c>
      <c r="G71" s="129" t="s">
        <v>71</v>
      </c>
      <c r="H71" s="130" t="s">
        <v>71</v>
      </c>
      <c r="I71" s="130" t="s">
        <v>71</v>
      </c>
      <c r="J71" s="131" t="str">
        <f>IF(J51=0,"-",H61*0.252*D11*(I19-D10)*2*D7/D6*(J49&lt;I7)/(1000000*J50))</f>
        <v>-</v>
      </c>
    </row>
    <row r="72" spans="2:10" ht="15" customHeight="1">
      <c r="B72" s="205" t="s">
        <v>57</v>
      </c>
      <c r="C72" s="49" t="str">
        <f>IF(C51=0,"-",IF(C69-C70&lt;0,0,C69-C70))</f>
        <v>-</v>
      </c>
      <c r="D72" s="50" t="str">
        <f>IF(D51=0,"-",IF(D69-D70&lt;0,0,D69-D70))</f>
        <v>-</v>
      </c>
      <c r="E72" s="50" t="str">
        <f>IF(E51=0,"-",IF(E69-E70&lt;0,0,E69-E70))</f>
        <v>-</v>
      </c>
      <c r="F72" s="51" t="str">
        <f>IF(F51=0,"-",IF(F69-F70-F71&lt;0,0,F69-F70-F71))</f>
        <v>-</v>
      </c>
      <c r="G72" s="49" t="str">
        <f>IF(G51=0,"-",IF(G69-G70&lt;0,0,G69-G70))</f>
        <v>-</v>
      </c>
      <c r="H72" s="50" t="str">
        <f>IF(H51=0,"-",IF(H69-H70&lt;0,0,H69-H70))</f>
        <v>-</v>
      </c>
      <c r="I72" s="50" t="str">
        <f>IF(I51=0,"-",IF(I69-I70&lt;0,0,I69-I70))</f>
        <v>-</v>
      </c>
      <c r="J72" s="51" t="str">
        <f>IF(J51=0,"-",IF(J69-J70-J71&lt;0,0,J69-J70-J71))</f>
        <v>-</v>
      </c>
    </row>
    <row r="75" spans="2:10">
      <c r="B75" s="278" t="s">
        <v>142</v>
      </c>
    </row>
    <row r="77" spans="2:10">
      <c r="B77" s="447" t="s">
        <v>227</v>
      </c>
      <c r="C77" s="447"/>
      <c r="D77" s="447"/>
      <c r="E77" s="447"/>
      <c r="F77" s="447"/>
      <c r="G77" s="447"/>
      <c r="H77" s="447"/>
      <c r="I77" s="447"/>
      <c r="J77" s="447"/>
    </row>
    <row r="78" spans="2:10">
      <c r="B78" s="447"/>
      <c r="C78" s="447"/>
      <c r="D78" s="447"/>
      <c r="E78" s="447"/>
      <c r="F78" s="447"/>
      <c r="G78" s="447"/>
      <c r="H78" s="447"/>
      <c r="I78" s="447"/>
      <c r="J78" s="447"/>
    </row>
    <row r="79" spans="2:10">
      <c r="B79" s="447"/>
      <c r="C79" s="447"/>
      <c r="D79" s="447"/>
      <c r="E79" s="447"/>
      <c r="F79" s="447"/>
      <c r="G79" s="447"/>
      <c r="H79" s="447"/>
      <c r="I79" s="447"/>
      <c r="J79" s="447"/>
    </row>
  </sheetData>
  <sheetProtection password="E0B2" sheet="1" objects="1" scenarios="1" selectLockedCells="1"/>
  <mergeCells count="63">
    <mergeCell ref="B77:J79"/>
    <mergeCell ref="B35:C35"/>
    <mergeCell ref="B37:J37"/>
    <mergeCell ref="B38:C38"/>
    <mergeCell ref="F38:H38"/>
    <mergeCell ref="B39:C39"/>
    <mergeCell ref="F39:H39"/>
    <mergeCell ref="A43:K43"/>
    <mergeCell ref="B45:J45"/>
    <mergeCell ref="B46:B47"/>
    <mergeCell ref="C46:F46"/>
    <mergeCell ref="G46:J46"/>
    <mergeCell ref="B32:C32"/>
    <mergeCell ref="F32:H32"/>
    <mergeCell ref="B33:C33"/>
    <mergeCell ref="F33:H33"/>
    <mergeCell ref="B34:C34"/>
    <mergeCell ref="F34:H34"/>
    <mergeCell ref="B31:C31"/>
    <mergeCell ref="F31:H31"/>
    <mergeCell ref="F24:H24"/>
    <mergeCell ref="B25:C25"/>
    <mergeCell ref="F25:H25"/>
    <mergeCell ref="B26:C26"/>
    <mergeCell ref="F26:H26"/>
    <mergeCell ref="B28:J28"/>
    <mergeCell ref="B29:C29"/>
    <mergeCell ref="D29:E29"/>
    <mergeCell ref="F29:H29"/>
    <mergeCell ref="B30:C30"/>
    <mergeCell ref="F30:H30"/>
    <mergeCell ref="B23:J23"/>
    <mergeCell ref="B14:J14"/>
    <mergeCell ref="B15:C15"/>
    <mergeCell ref="F15:H15"/>
    <mergeCell ref="B16:C16"/>
    <mergeCell ref="F16:H16"/>
    <mergeCell ref="B18:J18"/>
    <mergeCell ref="F19:H19"/>
    <mergeCell ref="B20:C20"/>
    <mergeCell ref="F20:H20"/>
    <mergeCell ref="B21:C21"/>
    <mergeCell ref="F21:H21"/>
    <mergeCell ref="B12:C12"/>
    <mergeCell ref="F12:H12"/>
    <mergeCell ref="B5:C5"/>
    <mergeCell ref="D5:E5"/>
    <mergeCell ref="F5:H5"/>
    <mergeCell ref="B6:C6"/>
    <mergeCell ref="F6:H6"/>
    <mergeCell ref="B7:C7"/>
    <mergeCell ref="F7:H7"/>
    <mergeCell ref="B9:J9"/>
    <mergeCell ref="B10:C10"/>
    <mergeCell ref="F10:H10"/>
    <mergeCell ref="B11:C11"/>
    <mergeCell ref="F11:H11"/>
    <mergeCell ref="A1:K1"/>
    <mergeCell ref="B3:J3"/>
    <mergeCell ref="B4:C4"/>
    <mergeCell ref="D4:E4"/>
    <mergeCell ref="F4:H4"/>
    <mergeCell ref="I4:J4"/>
  </mergeCells>
  <dataValidations count="9">
    <dataValidation allowBlank="1" showInputMessage="1" showErrorMessage="1" prompt="Default Value is 0.2 ft3/Boiler Hp" sqref="I15"/>
    <dataValidation allowBlank="1" showInputMessage="1" showErrorMessage="1" prompt="Default Value is 10 psi" sqref="D15"/>
    <dataValidation allowBlank="1" showInputMessage="1" showErrorMessage="1" prompt="Default Value is 75%" sqref="D11"/>
    <dataValidation allowBlank="1" showInputMessage="1" showErrorMessage="1" prompt="Default Value is 50F" sqref="I10"/>
    <dataValidation allowBlank="1" showInputMessage="1" showErrorMessage="1" prompt="Default Value is 80F" sqref="D10"/>
    <dataValidation allowBlank="1" showInputMessage="1" showErrorMessage="1" prompt="Default Value is 20%" sqref="I7"/>
    <dataValidation allowBlank="1" showInputMessage="1" showErrorMessage="1" prompt="Default value is 30 seconds" sqref="D7"/>
    <dataValidation type="list" allowBlank="1" showInputMessage="1" showErrorMessage="1" sqref="D5">
      <formula1>"Full Modulating,Low-High-Off,On-Off"</formula1>
    </dataValidation>
    <dataValidation type="list" allowBlank="1" showInputMessage="1" showErrorMessage="1" sqref="D29">
      <formula1>'Fuel Properties'!A7:A13</formula1>
    </dataValidation>
  </dataValidations>
  <printOptions horizontalCentered="1"/>
  <pageMargins left="0.2" right="0.2" top="0.75" bottom="0.75" header="0.3" footer="0.3"/>
  <pageSetup orientation="portrait" r:id="rId1"/>
  <rowBreaks count="1" manualBreakCount="1">
    <brk id="42" max="10" man="1"/>
  </rowBreaks>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dimension ref="A1:N79"/>
  <sheetViews>
    <sheetView view="pageBreakPreview" zoomScaleNormal="100" zoomScaleSheetLayoutView="100" workbookViewId="0">
      <selection activeCell="D4" sqref="D4:E4"/>
    </sheetView>
  </sheetViews>
  <sheetFormatPr defaultRowHeight="15"/>
  <cols>
    <col min="1" max="1" width="1.42578125" style="67" customWidth="1"/>
    <col min="2" max="2" width="19.140625" style="67" customWidth="1"/>
    <col min="3" max="10" width="9.5703125" style="67" customWidth="1"/>
    <col min="11" max="11" width="1.42578125" style="67" customWidth="1"/>
    <col min="12" max="16" width="9.28515625" style="67" customWidth="1"/>
    <col min="17" max="16384" width="9.140625" style="67"/>
  </cols>
  <sheetData>
    <row r="1" spans="1:14" ht="30" customHeight="1">
      <c r="A1" s="425" t="s">
        <v>124</v>
      </c>
      <c r="B1" s="425"/>
      <c r="C1" s="425"/>
      <c r="D1" s="425"/>
      <c r="E1" s="425"/>
      <c r="F1" s="425"/>
      <c r="G1" s="425"/>
      <c r="H1" s="425"/>
      <c r="I1" s="425"/>
      <c r="J1" s="425"/>
      <c r="K1" s="425"/>
      <c r="L1" s="174"/>
      <c r="M1" s="174"/>
    </row>
    <row r="2" spans="1:14" ht="15" customHeight="1"/>
    <row r="3" spans="1:14" ht="15" customHeight="1">
      <c r="B3" s="439" t="s">
        <v>194</v>
      </c>
      <c r="C3" s="439"/>
      <c r="D3" s="439"/>
      <c r="E3" s="439"/>
      <c r="F3" s="439"/>
      <c r="G3" s="439"/>
      <c r="H3" s="439"/>
      <c r="I3" s="439"/>
      <c r="J3" s="439"/>
    </row>
    <row r="4" spans="1:14" ht="15" customHeight="1">
      <c r="B4" s="428" t="s">
        <v>96</v>
      </c>
      <c r="C4" s="430"/>
      <c r="D4" s="437"/>
      <c r="E4" s="438"/>
      <c r="F4" s="432" t="s">
        <v>239</v>
      </c>
      <c r="G4" s="432"/>
      <c r="H4" s="432"/>
      <c r="I4" s="448"/>
      <c r="J4" s="448"/>
      <c r="K4" s="68"/>
    </row>
    <row r="5" spans="1:14" ht="15" customHeight="1">
      <c r="B5" s="432" t="s">
        <v>95</v>
      </c>
      <c r="C5" s="432"/>
      <c r="D5" s="437"/>
      <c r="E5" s="438"/>
      <c r="F5" s="428" t="s">
        <v>77</v>
      </c>
      <c r="G5" s="429"/>
      <c r="H5" s="430"/>
      <c r="I5" s="247">
        <f>SUM(C51:F51)</f>
        <v>0</v>
      </c>
      <c r="J5" s="175" t="s">
        <v>92</v>
      </c>
    </row>
    <row r="6" spans="1:14" ht="15" customHeight="1">
      <c r="B6" s="434" t="s">
        <v>176</v>
      </c>
      <c r="C6" s="434"/>
      <c r="D6" s="249" t="e">
        <f ca="1">D38/((I7-F49)*I6)*(I7/F49)*0.00006</f>
        <v>#DIV/0!</v>
      </c>
      <c r="E6" s="176" t="s">
        <v>164</v>
      </c>
      <c r="F6" s="434" t="s">
        <v>94</v>
      </c>
      <c r="G6" s="434"/>
      <c r="H6" s="434"/>
      <c r="I6" s="251"/>
      <c r="J6" s="177" t="s">
        <v>93</v>
      </c>
    </row>
    <row r="7" spans="1:14" ht="15" customHeight="1">
      <c r="B7" s="435" t="s">
        <v>162</v>
      </c>
      <c r="C7" s="435"/>
      <c r="D7" s="252"/>
      <c r="E7" s="178" t="s">
        <v>163</v>
      </c>
      <c r="F7" s="432" t="s">
        <v>160</v>
      </c>
      <c r="G7" s="432"/>
      <c r="H7" s="432"/>
      <c r="I7" s="254"/>
      <c r="J7" s="248"/>
      <c r="N7" s="179"/>
    </row>
    <row r="8" spans="1:14" ht="15" customHeight="1">
      <c r="B8" s="188"/>
      <c r="C8" s="188"/>
      <c r="D8" s="181"/>
      <c r="E8" s="188"/>
      <c r="F8" s="182"/>
      <c r="G8" s="182"/>
      <c r="H8" s="182"/>
      <c r="I8" s="183"/>
      <c r="J8" s="182"/>
      <c r="N8" s="179"/>
    </row>
    <row r="9" spans="1:14" ht="15" customHeight="1">
      <c r="B9" s="439" t="s">
        <v>195</v>
      </c>
      <c r="C9" s="439"/>
      <c r="D9" s="439"/>
      <c r="E9" s="439"/>
      <c r="F9" s="439"/>
      <c r="G9" s="439"/>
      <c r="H9" s="439"/>
      <c r="I9" s="439"/>
      <c r="J9" s="439"/>
    </row>
    <row r="10" spans="1:14" ht="15" customHeight="1">
      <c r="B10" s="426" t="s">
        <v>91</v>
      </c>
      <c r="C10" s="426"/>
      <c r="D10" s="255"/>
      <c r="E10" s="256" t="s">
        <v>226</v>
      </c>
      <c r="F10" s="431" t="s">
        <v>198</v>
      </c>
      <c r="G10" s="431"/>
      <c r="H10" s="431"/>
      <c r="I10" s="257"/>
      <c r="J10" s="184" t="s">
        <v>83</v>
      </c>
    </row>
    <row r="11" spans="1:14" ht="15" customHeight="1">
      <c r="B11" s="433" t="s">
        <v>161</v>
      </c>
      <c r="C11" s="433"/>
      <c r="D11" s="258"/>
      <c r="E11" s="250"/>
      <c r="F11" s="434" t="s">
        <v>86</v>
      </c>
      <c r="G11" s="434"/>
      <c r="H11" s="434"/>
      <c r="I11" s="259">
        <f>-0.0000000000000723527*I12^3+0.00000000795644*I12^2-0.00053178*I12+14.6958</f>
        <v>14.6958</v>
      </c>
      <c r="J11" s="185" t="s">
        <v>85</v>
      </c>
    </row>
    <row r="12" spans="1:14" ht="15" customHeight="1">
      <c r="B12" s="432" t="s">
        <v>88</v>
      </c>
      <c r="C12" s="432"/>
      <c r="D12" s="260"/>
      <c r="E12" s="253" t="s">
        <v>87</v>
      </c>
      <c r="F12" s="435" t="s">
        <v>90</v>
      </c>
      <c r="G12" s="435"/>
      <c r="H12" s="435"/>
      <c r="I12" s="260"/>
      <c r="J12" s="175" t="s">
        <v>89</v>
      </c>
    </row>
    <row r="13" spans="1:14" ht="15" customHeight="1">
      <c r="B13" s="182"/>
      <c r="C13" s="182"/>
      <c r="D13" s="186"/>
      <c r="E13" s="188"/>
      <c r="F13" s="188"/>
      <c r="G13" s="188"/>
      <c r="H13" s="188"/>
      <c r="I13" s="186"/>
      <c r="J13" s="182"/>
    </row>
    <row r="14" spans="1:14" ht="15" customHeight="1">
      <c r="B14" s="439" t="s">
        <v>196</v>
      </c>
      <c r="C14" s="439"/>
      <c r="D14" s="439"/>
      <c r="E14" s="439"/>
      <c r="F14" s="439"/>
      <c r="G14" s="439"/>
      <c r="H14" s="439"/>
      <c r="I14" s="439"/>
      <c r="J14" s="439"/>
    </row>
    <row r="15" spans="1:14" ht="15" customHeight="1">
      <c r="A15" s="87"/>
      <c r="B15" s="436" t="s">
        <v>165</v>
      </c>
      <c r="C15" s="436"/>
      <c r="D15" s="261"/>
      <c r="E15" s="187" t="s">
        <v>166</v>
      </c>
      <c r="F15" s="426" t="s">
        <v>167</v>
      </c>
      <c r="G15" s="426"/>
      <c r="H15" s="426"/>
      <c r="I15" s="262">
        <f>I6*29.876249572*0.2</f>
        <v>0</v>
      </c>
      <c r="J15" s="184" t="s">
        <v>168</v>
      </c>
    </row>
    <row r="16" spans="1:14" ht="15" customHeight="1">
      <c r="B16" s="435" t="s">
        <v>171</v>
      </c>
      <c r="C16" s="435"/>
      <c r="D16" s="309">
        <f>1.986/18</f>
        <v>0.11033333333333334</v>
      </c>
      <c r="E16" s="178" t="s">
        <v>170</v>
      </c>
      <c r="F16" s="427"/>
      <c r="G16" s="427"/>
      <c r="H16" s="427"/>
      <c r="I16" s="68"/>
    </row>
    <row r="17" spans="2:12" ht="15" customHeight="1">
      <c r="B17" s="188"/>
      <c r="C17" s="188"/>
      <c r="D17" s="189"/>
      <c r="E17" s="188"/>
      <c r="F17" s="188"/>
      <c r="G17" s="188"/>
      <c r="H17" s="188"/>
      <c r="I17" s="68"/>
    </row>
    <row r="18" spans="2:12" ht="15" customHeight="1">
      <c r="B18" s="439" t="s">
        <v>200</v>
      </c>
      <c r="C18" s="439"/>
      <c r="D18" s="439"/>
      <c r="E18" s="439"/>
      <c r="F18" s="439"/>
      <c r="G18" s="439"/>
      <c r="H18" s="439"/>
      <c r="I18" s="439"/>
      <c r="J18" s="439"/>
    </row>
    <row r="19" spans="2:12" ht="15" customHeight="1">
      <c r="B19" s="263" t="s">
        <v>207</v>
      </c>
      <c r="C19" s="264"/>
      <c r="D19" s="265"/>
      <c r="E19" s="184" t="s">
        <v>84</v>
      </c>
      <c r="F19" s="442" t="s">
        <v>208</v>
      </c>
      <c r="G19" s="443"/>
      <c r="H19" s="444"/>
      <c r="I19" s="284">
        <f ca="1">(OFFSET('Steam Properties'!$A$5,MATCH(D19,'Steam Properties'!$A$5:'Steam Properties'!$A$129,TRUE),1,1,1)-VLOOKUP(D19,'Steam Properties'!$A$5:'Steam Properties'!$F$129,2,TRUE))/(OFFSET('Steam Properties'!$A$5,MATCH(D19,'Steam Properties'!$A$5:'Steam Properties'!$A$129,TRUE),0,1,1)-VLOOKUP(D19,'Steam Properties'!$A$5:'Steam Properties'!$F$129,1,TRUE))*(D19-VLOOKUP(D19,'Steam Properties'!$A$5:'Steam Properties'!$F$129,1,TRUE))+VLOOKUP(D19,'Steam Properties'!$A$5:'Steam Properties'!$F$129,2,TRUE)</f>
        <v>212</v>
      </c>
      <c r="J19" s="184" t="s">
        <v>83</v>
      </c>
      <c r="L19" s="284"/>
    </row>
    <row r="20" spans="2:12" ht="15" customHeight="1">
      <c r="B20" s="433" t="s">
        <v>204</v>
      </c>
      <c r="C20" s="433"/>
      <c r="D20" s="266">
        <f ca="1">(OFFSET('Steam Properties'!$A$5,MATCH(D19,'Steam Properties'!$A$5:'Steam Properties'!$A$129,TRUE),1,1,1)-VLOOKUP(D19,'Steam Properties'!$A$5:'Steam Properties'!$F$129,3,TRUE))/(OFFSET('Steam Properties'!$A$5,MATCH(D19,'Steam Properties'!$A$5:'Steam Properties'!$A$129,TRUE),0,1,1)-VLOOKUP(D19,'Steam Properties'!$A$5:'Steam Properties'!$F$129,1,TRUE))*(D19-VLOOKUP(D19,'Steam Properties'!$A$5:'Steam Properties'!$F$129,1,TRUE))+VLOOKUP(D19,'Steam Properties'!$A$5:'Steam Properties'!$F$129,3,TRUE)</f>
        <v>26.8</v>
      </c>
      <c r="E20" s="190" t="s">
        <v>205</v>
      </c>
      <c r="F20" s="433" t="s">
        <v>202</v>
      </c>
      <c r="G20" s="433"/>
      <c r="H20" s="433"/>
      <c r="I20" s="267">
        <f ca="1">(OFFSET('Steam Properties'!$A$5,MATCH(D19,'Steam Properties'!$A$5:'Steam Properties'!$A$129,TRUE),1,1,1)-VLOOKUP(D19,'Steam Properties'!$A$5:'Steam Properties'!$F$129,4,TRUE))/(OFFSET('Steam Properties'!$A$5,MATCH(D19,'Steam Properties'!$A$5:'Steam Properties'!$A$129,TRUE),0,1,1)-VLOOKUP(D19,'Steam Properties'!$A$5:'Steam Properties'!$F$129,1,TRUE))*(D19-VLOOKUP(D19,'Steam Properties'!$A$5:'Steam Properties'!$F$129,1,TRUE))+VLOOKUP(D19,'Steam Properties'!$A$5:'Steam Properties'!$F$129,4,TRUE)</f>
        <v>180</v>
      </c>
      <c r="J20" s="185" t="s">
        <v>169</v>
      </c>
    </row>
    <row r="21" spans="2:12" ht="15" customHeight="1">
      <c r="B21" s="435" t="s">
        <v>201</v>
      </c>
      <c r="C21" s="435"/>
      <c r="D21" s="268">
        <f ca="1">(OFFSET('Steam Properties'!$A$5,MATCH(D19,'Steam Properties'!$A$5:'Steam Properties'!$A$129,TRUE),1,1,1)-VLOOKUP(D19,'Steam Properties'!$A$5:'Steam Properties'!$F$129,5,TRUE))/(OFFSET('Steam Properties'!$A$5,MATCH(D19,'Steam Properties'!$A$5:'Steam Properties'!$A$129,TRUE),0,1,1)-VLOOKUP(D19,'Steam Properties'!$A$5:'Steam Properties'!$F$129,1,TRUE))*(D19-VLOOKUP(D19,'Steam Properties'!$A$5:'Steam Properties'!$F$129,1,TRUE))+VLOOKUP(D19,'Steam Properties'!$A$5:'Steam Properties'!$F$129,5,TRUE)</f>
        <v>970</v>
      </c>
      <c r="E21" s="178" t="s">
        <v>169</v>
      </c>
      <c r="F21" s="435" t="s">
        <v>203</v>
      </c>
      <c r="G21" s="435"/>
      <c r="H21" s="435"/>
      <c r="I21" s="269">
        <f ca="1">(OFFSET('Steam Properties'!$A$5,MATCH(D19,'Steam Properties'!$A$5:'Steam Properties'!$A$129,TRUE),1,1,1)-VLOOKUP(D19,'Steam Properties'!$A$5:'Steam Properties'!$F$129,6,TRUE))/(OFFSET('Steam Properties'!$A$5,MATCH(D19,'Steam Properties'!$A$5:'Steam Properties'!$A$129,TRUE),0,1,1)-VLOOKUP(D19,'Steam Properties'!$A$5:'Steam Properties'!$F$129,1,TRUE))*(D19-VLOOKUP(D19,'Steam Properties'!$A$5:'Steam Properties'!$F$129,1,TRUE))+VLOOKUP(D19,'Steam Properties'!$A$5:'Steam Properties'!$F$129,6,TRUE)</f>
        <v>1150</v>
      </c>
      <c r="J21" s="178" t="s">
        <v>169</v>
      </c>
    </row>
    <row r="22" spans="2:12" ht="15" customHeight="1">
      <c r="B22" s="188"/>
      <c r="C22" s="188"/>
      <c r="D22" s="191"/>
      <c r="E22" s="188"/>
      <c r="F22" s="188"/>
      <c r="G22" s="188"/>
      <c r="H22" s="188"/>
      <c r="I22" s="153"/>
      <c r="J22" s="188"/>
    </row>
    <row r="23" spans="2:12" ht="15" customHeight="1">
      <c r="B23" s="439" t="s">
        <v>206</v>
      </c>
      <c r="C23" s="439"/>
      <c r="D23" s="439"/>
      <c r="E23" s="439"/>
      <c r="F23" s="439"/>
      <c r="G23" s="439"/>
      <c r="H23" s="439"/>
      <c r="I23" s="439"/>
      <c r="J23" s="439"/>
    </row>
    <row r="24" spans="2:12" ht="15" customHeight="1">
      <c r="B24" s="263" t="s">
        <v>209</v>
      </c>
      <c r="C24" s="264"/>
      <c r="D24" s="265"/>
      <c r="E24" s="184" t="s">
        <v>84</v>
      </c>
      <c r="F24" s="442" t="s">
        <v>210</v>
      </c>
      <c r="G24" s="443"/>
      <c r="H24" s="444"/>
      <c r="I24" s="284">
        <f ca="1">(OFFSET('Steam Properties'!$A$5,MATCH(D24,'Steam Properties'!$A$5:'Steam Properties'!$A$129,TRUE),1,1,1)-VLOOKUP(D24,'Steam Properties'!$A$5:'Steam Properties'!$F$129,2,TRUE))/(OFFSET('Steam Properties'!$A$5,MATCH(D24,'Steam Properties'!$A$5:'Steam Properties'!$A$129,TRUE),0,1,1)-VLOOKUP(D24,'Steam Properties'!$A$5:'Steam Properties'!$F$129,1,TRUE))*(D24-VLOOKUP(D24,'Steam Properties'!$A$5:'Steam Properties'!$F$129,1,TRUE))+VLOOKUP(D24,'Steam Properties'!$A$5:'Steam Properties'!$F$129,2,TRUE)</f>
        <v>212</v>
      </c>
      <c r="J24" s="184" t="s">
        <v>83</v>
      </c>
      <c r="L24" s="284"/>
    </row>
    <row r="25" spans="2:12" ht="15" customHeight="1">
      <c r="B25" s="433" t="s">
        <v>204</v>
      </c>
      <c r="C25" s="433"/>
      <c r="D25" s="266">
        <f ca="1">(OFFSET('Steam Properties'!$A$5,MATCH(D24,'Steam Properties'!$A$5:'Steam Properties'!$A$129,TRUE),1,1,1)-VLOOKUP(D24,'Steam Properties'!$A$5:'Steam Properties'!$F$129,3,TRUE))/(OFFSET('Steam Properties'!$A$5,MATCH(D24,'Steam Properties'!$A$5:'Steam Properties'!$A$129,TRUE),0,1,1)-VLOOKUP(D24,'Steam Properties'!$A$5:'Steam Properties'!$F$129,1,TRUE))*(D24-VLOOKUP(D24,'Steam Properties'!$A$5:'Steam Properties'!$F$129,1,TRUE))+VLOOKUP(D24,'Steam Properties'!$A$5:'Steam Properties'!$F$129,3,TRUE)</f>
        <v>26.8</v>
      </c>
      <c r="E25" s="190" t="s">
        <v>205</v>
      </c>
      <c r="F25" s="433" t="s">
        <v>202</v>
      </c>
      <c r="G25" s="433"/>
      <c r="H25" s="433"/>
      <c r="I25" s="267">
        <f ca="1">(OFFSET('Steam Properties'!$A$5,MATCH(D24,'Steam Properties'!$A$5:'Steam Properties'!$A$129,TRUE),1,1,1)-VLOOKUP(D24,'Steam Properties'!$A$5:'Steam Properties'!$F$129,4,TRUE))/(OFFSET('Steam Properties'!$A$5,MATCH(D24,'Steam Properties'!$A$5:'Steam Properties'!$A$129,TRUE),0,1,1)-VLOOKUP(D24,'Steam Properties'!$A$5:'Steam Properties'!$F$129,1,TRUE))*(D24-VLOOKUP(D24,'Steam Properties'!$A$5:'Steam Properties'!$F$129,1,TRUE))+VLOOKUP(D24,'Steam Properties'!$A$5:'Steam Properties'!$F$129,4,TRUE)</f>
        <v>180</v>
      </c>
      <c r="J25" s="185" t="s">
        <v>169</v>
      </c>
    </row>
    <row r="26" spans="2:12" ht="15" customHeight="1">
      <c r="B26" s="435" t="s">
        <v>201</v>
      </c>
      <c r="C26" s="435"/>
      <c r="D26" s="268">
        <f ca="1">(OFFSET('Steam Properties'!$A$5,MATCH(D24,'Steam Properties'!$A$5:'Steam Properties'!$A$129,TRUE),1,1,1)-VLOOKUP(D24,'Steam Properties'!$A$5:'Steam Properties'!$F$129,5,TRUE))/(OFFSET('Steam Properties'!$A$5,MATCH(D24,'Steam Properties'!$A$5:'Steam Properties'!$A$129,TRUE),0,1,1)-VLOOKUP(D24,'Steam Properties'!$A$5:'Steam Properties'!$F$129,1,TRUE))*(D24-VLOOKUP(D24,'Steam Properties'!$A$5:'Steam Properties'!$F$129,1,TRUE))+VLOOKUP(D24,'Steam Properties'!$A$5:'Steam Properties'!$F$129,5,TRUE)</f>
        <v>970</v>
      </c>
      <c r="E26" s="178" t="s">
        <v>169</v>
      </c>
      <c r="F26" s="435" t="s">
        <v>203</v>
      </c>
      <c r="G26" s="435"/>
      <c r="H26" s="435"/>
      <c r="I26" s="268">
        <f ca="1">(OFFSET('Steam Properties'!$A$5,MATCH(D24,'Steam Properties'!$A$5:'Steam Properties'!$A$129,TRUE),1,1,1)-VLOOKUP(D24,'Steam Properties'!$A$5:'Steam Properties'!$F$129,6,TRUE))/(OFFSET('Steam Properties'!$A$5,MATCH(D24,'Steam Properties'!$A$5:'Steam Properties'!$A$129,TRUE),0,1,1)-VLOOKUP(D24,'Steam Properties'!$A$5:'Steam Properties'!$F$129,1,TRUE))*(D24-VLOOKUP(D24,'Steam Properties'!$A$5:'Steam Properties'!$F$129,1,TRUE))+VLOOKUP(D24,'Steam Properties'!$A$5:'Steam Properties'!$F$129,6,TRUE)</f>
        <v>1150</v>
      </c>
      <c r="J26" s="178" t="s">
        <v>169</v>
      </c>
    </row>
    <row r="27" spans="2:12" ht="15" customHeight="1">
      <c r="B27" s="188"/>
      <c r="C27" s="188"/>
      <c r="D27" s="191"/>
      <c r="E27" s="188"/>
      <c r="F27" s="188"/>
      <c r="G27" s="188"/>
      <c r="H27" s="188"/>
      <c r="I27" s="191"/>
      <c r="J27" s="188"/>
    </row>
    <row r="28" spans="2:12" ht="15" customHeight="1">
      <c r="B28" s="439" t="s">
        <v>211</v>
      </c>
      <c r="C28" s="439"/>
      <c r="D28" s="439"/>
      <c r="E28" s="439"/>
      <c r="F28" s="439"/>
      <c r="G28" s="439"/>
      <c r="H28" s="439"/>
      <c r="I28" s="439"/>
      <c r="J28" s="439"/>
    </row>
    <row r="29" spans="2:12" ht="15" customHeight="1">
      <c r="B29" s="442" t="s">
        <v>56</v>
      </c>
      <c r="C29" s="444"/>
      <c r="D29" s="440"/>
      <c r="E29" s="441"/>
      <c r="F29" s="442" t="s">
        <v>199</v>
      </c>
      <c r="G29" s="443"/>
      <c r="H29" s="444"/>
      <c r="I29" s="270"/>
      <c r="J29" s="184" t="s">
        <v>223</v>
      </c>
    </row>
    <row r="30" spans="2:12" ht="15" customHeight="1">
      <c r="B30" s="435" t="s">
        <v>212</v>
      </c>
      <c r="C30" s="435"/>
      <c r="D30" s="271" t="e">
        <f>VLOOKUP($D$29,'Fuel Properties'!$A$7:$L$13,2,FALSE)</f>
        <v>#N/A</v>
      </c>
      <c r="E30" s="192" t="s">
        <v>39</v>
      </c>
      <c r="F30" s="435" t="s">
        <v>213</v>
      </c>
      <c r="G30" s="435"/>
      <c r="H30" s="435"/>
      <c r="I30" s="271" t="e">
        <f>VLOOKUP($D$29,'Fuel Properties'!$A$7:$L$13,3,FALSE)</f>
        <v>#N/A</v>
      </c>
      <c r="J30" s="178" t="s">
        <v>38</v>
      </c>
    </row>
    <row r="31" spans="2:12" ht="15" customHeight="1">
      <c r="B31" s="445" t="s">
        <v>214</v>
      </c>
      <c r="C31" s="446"/>
      <c r="D31" s="271" t="e">
        <f>VLOOKUP($D$29,'Fuel Properties'!$A$7:$L$13,4,FALSE)</f>
        <v>#N/A</v>
      </c>
      <c r="E31" s="178" t="s">
        <v>37</v>
      </c>
      <c r="F31" s="435" t="s">
        <v>215</v>
      </c>
      <c r="G31" s="435"/>
      <c r="H31" s="435"/>
      <c r="I31" s="271" t="e">
        <f>VLOOKUP($D$29,'Fuel Properties'!$A$7:$L$13,5,FALSE)</f>
        <v>#N/A</v>
      </c>
      <c r="J31" s="178" t="s">
        <v>221</v>
      </c>
    </row>
    <row r="32" spans="2:12" ht="15" customHeight="1">
      <c r="B32" s="435" t="s">
        <v>216</v>
      </c>
      <c r="C32" s="435"/>
      <c r="D32" s="271" t="e">
        <f>VLOOKUP($D$29,'Fuel Properties'!$A$7:$L$13,6,FALSE)</f>
        <v>#N/A</v>
      </c>
      <c r="E32" s="192" t="s">
        <v>222</v>
      </c>
      <c r="F32" s="435" t="s">
        <v>217</v>
      </c>
      <c r="G32" s="435"/>
      <c r="H32" s="435"/>
      <c r="I32" s="271" t="e">
        <f>VLOOKUP($D$29,'Fuel Properties'!$A$7:$L$13,7,FALSE)</f>
        <v>#N/A</v>
      </c>
      <c r="J32" s="178"/>
    </row>
    <row r="33" spans="1:13" ht="15" customHeight="1">
      <c r="B33" s="435" t="s">
        <v>218</v>
      </c>
      <c r="C33" s="435"/>
      <c r="D33" s="271" t="e">
        <f>VLOOKUP($D$29,'Fuel Properties'!$A$7:$L$13,8,FALSE)</f>
        <v>#N/A</v>
      </c>
      <c r="E33" s="192"/>
      <c r="F33" s="435" t="s">
        <v>219</v>
      </c>
      <c r="G33" s="435"/>
      <c r="H33" s="435"/>
      <c r="I33" s="272" t="e">
        <f>VLOOKUP($D$29,'Fuel Properties'!$A$7:$L$13,9,FALSE)</f>
        <v>#N/A</v>
      </c>
      <c r="J33" s="178" t="s">
        <v>169</v>
      </c>
    </row>
    <row r="34" spans="1:13" ht="15" customHeight="1">
      <c r="B34" s="454" t="s">
        <v>220</v>
      </c>
      <c r="C34" s="455"/>
      <c r="D34" s="267" t="e">
        <f>VLOOKUP($D$29,'Fuel Properties'!$A$7:$L$13,10,FALSE)</f>
        <v>#N/A</v>
      </c>
      <c r="E34" s="185" t="s">
        <v>234</v>
      </c>
      <c r="F34" s="435" t="s">
        <v>235</v>
      </c>
      <c r="G34" s="435"/>
      <c r="H34" s="435"/>
      <c r="I34" s="271" t="e">
        <f>VLOOKUP($D$29,'Fuel Properties'!$A$7:$L$13,11,FALSE)</f>
        <v>#N/A</v>
      </c>
      <c r="J34" s="192" t="s">
        <v>222</v>
      </c>
    </row>
    <row r="35" spans="1:13" ht="15" customHeight="1">
      <c r="B35" s="435" t="s">
        <v>236</v>
      </c>
      <c r="C35" s="435"/>
      <c r="D35" s="271" t="e">
        <f>VLOOKUP($D$29,'Fuel Properties'!$A$7:$L$13,12,FALSE)</f>
        <v>#N/A</v>
      </c>
      <c r="E35" s="192" t="s">
        <v>222</v>
      </c>
      <c r="F35" s="273"/>
      <c r="G35" s="273"/>
      <c r="H35" s="273"/>
      <c r="I35" s="179"/>
      <c r="J35" s="273"/>
    </row>
    <row r="36" spans="1:13" ht="15" customHeight="1">
      <c r="B36" s="188"/>
      <c r="C36" s="188"/>
      <c r="D36" s="193"/>
      <c r="E36" s="188"/>
      <c r="F36" s="188"/>
      <c r="G36" s="188"/>
      <c r="H36" s="188"/>
      <c r="I36" s="191"/>
      <c r="J36" s="188"/>
    </row>
    <row r="37" spans="1:13" ht="15" customHeight="1">
      <c r="B37" s="439" t="s">
        <v>197</v>
      </c>
      <c r="C37" s="439"/>
      <c r="D37" s="439"/>
      <c r="E37" s="439"/>
      <c r="F37" s="439"/>
      <c r="G37" s="439"/>
      <c r="H37" s="439"/>
      <c r="I37" s="439"/>
      <c r="J37" s="439"/>
    </row>
    <row r="38" spans="1:13" ht="15" customHeight="1">
      <c r="B38" s="426" t="s">
        <v>175</v>
      </c>
      <c r="C38" s="426"/>
      <c r="D38" s="274">
        <f ca="1">(D15*I15*I21)/(D16*(I19+460))</f>
        <v>0</v>
      </c>
      <c r="E38" s="194"/>
      <c r="F38" s="426" t="s">
        <v>172</v>
      </c>
      <c r="G38" s="426"/>
      <c r="H38" s="426"/>
      <c r="I38" s="275" t="e">
        <f ca="1">D38/(F49*I6)/(I7/F49-1)*0.00006</f>
        <v>#DIV/0!</v>
      </c>
      <c r="J38" s="194" t="s">
        <v>164</v>
      </c>
    </row>
    <row r="39" spans="1:13" ht="15" customHeight="1">
      <c r="B39" s="435" t="s">
        <v>173</v>
      </c>
      <c r="C39" s="435"/>
      <c r="D39" s="276" t="e">
        <f ca="1">D38/(F49*I6)/(1-F49/I7)*0.00006</f>
        <v>#DIV/0!</v>
      </c>
      <c r="E39" s="175" t="s">
        <v>164</v>
      </c>
      <c r="F39" s="435" t="s">
        <v>174</v>
      </c>
      <c r="G39" s="435"/>
      <c r="H39" s="435"/>
      <c r="I39" s="277" t="e">
        <f ca="1">D38/(F49*I6)*0.00006</f>
        <v>#DIV/0!</v>
      </c>
      <c r="J39" s="175" t="s">
        <v>164</v>
      </c>
    </row>
    <row r="40" spans="1:13" ht="15" customHeight="1">
      <c r="B40" s="188"/>
      <c r="C40" s="188"/>
      <c r="D40" s="154"/>
      <c r="E40" s="182"/>
      <c r="F40" s="188"/>
      <c r="G40" s="188"/>
      <c r="H40" s="188"/>
      <c r="I40" s="155"/>
      <c r="J40" s="182"/>
    </row>
    <row r="41" spans="1:13" ht="15" customHeight="1">
      <c r="B41" s="188"/>
      <c r="C41" s="188"/>
      <c r="D41" s="154"/>
      <c r="E41" s="182"/>
      <c r="F41" s="188"/>
      <c r="G41" s="188"/>
      <c r="H41" s="188"/>
      <c r="I41" s="155"/>
      <c r="J41" s="182"/>
    </row>
    <row r="42" spans="1:13" ht="15" customHeight="1">
      <c r="B42" s="188"/>
      <c r="C42" s="188"/>
      <c r="D42" s="154"/>
      <c r="E42" s="182"/>
      <c r="F42" s="188"/>
      <c r="G42" s="188"/>
      <c r="H42" s="188"/>
      <c r="I42" s="155"/>
      <c r="J42" s="182"/>
    </row>
    <row r="43" spans="1:13" ht="30" customHeight="1">
      <c r="A43" s="425" t="s">
        <v>124</v>
      </c>
      <c r="B43" s="425"/>
      <c r="C43" s="425"/>
      <c r="D43" s="425"/>
      <c r="E43" s="425"/>
      <c r="F43" s="425"/>
      <c r="G43" s="425"/>
      <c r="H43" s="425"/>
      <c r="I43" s="425"/>
      <c r="J43" s="425"/>
      <c r="K43" s="425"/>
    </row>
    <row r="44" spans="1:13" ht="15" customHeight="1"/>
    <row r="45" spans="1:13" ht="15" customHeight="1">
      <c r="B45" s="439" t="s">
        <v>57</v>
      </c>
      <c r="C45" s="439"/>
      <c r="D45" s="439"/>
      <c r="E45" s="439"/>
      <c r="F45" s="439"/>
      <c r="G45" s="439"/>
      <c r="H45" s="439"/>
      <c r="I45" s="439"/>
      <c r="J45" s="439"/>
    </row>
    <row r="46" spans="1:13" ht="15" customHeight="1">
      <c r="B46" s="452"/>
      <c r="C46" s="449" t="s">
        <v>100</v>
      </c>
      <c r="D46" s="450"/>
      <c r="E46" s="450"/>
      <c r="F46" s="451"/>
      <c r="G46" s="449" t="s">
        <v>82</v>
      </c>
      <c r="H46" s="450"/>
      <c r="I46" s="450"/>
      <c r="J46" s="451"/>
      <c r="M46" s="195"/>
    </row>
    <row r="47" spans="1:13" ht="15" customHeight="1">
      <c r="B47" s="453"/>
      <c r="C47" s="196" t="s">
        <v>51</v>
      </c>
      <c r="D47" s="197" t="s">
        <v>81</v>
      </c>
      <c r="E47" s="196" t="s">
        <v>50</v>
      </c>
      <c r="F47" s="197" t="s">
        <v>80</v>
      </c>
      <c r="G47" s="196" t="s">
        <v>51</v>
      </c>
      <c r="H47" s="197" t="s">
        <v>81</v>
      </c>
      <c r="I47" s="196" t="s">
        <v>50</v>
      </c>
      <c r="J47" s="197" t="s">
        <v>80</v>
      </c>
    </row>
    <row r="48" spans="1:13" ht="15" customHeight="1">
      <c r="B48" s="198" t="s">
        <v>79</v>
      </c>
      <c r="C48" s="199"/>
      <c r="D48" s="199"/>
      <c r="E48" s="199"/>
      <c r="F48" s="199"/>
      <c r="G48" s="199"/>
      <c r="H48" s="199"/>
      <c r="I48" s="199"/>
      <c r="J48" s="200"/>
    </row>
    <row r="49" spans="2:10" ht="15" customHeight="1">
      <c r="B49" s="201" t="s">
        <v>78</v>
      </c>
      <c r="C49" s="156">
        <v>1</v>
      </c>
      <c r="D49" s="157">
        <v>0.7</v>
      </c>
      <c r="E49" s="157">
        <v>0.4</v>
      </c>
      <c r="F49" s="158">
        <v>0.1</v>
      </c>
      <c r="G49" s="118">
        <f>C49</f>
        <v>1</v>
      </c>
      <c r="H49" s="119">
        <f>D49</f>
        <v>0.7</v>
      </c>
      <c r="I49" s="119">
        <f>E49</f>
        <v>0.4</v>
      </c>
      <c r="J49" s="120">
        <f>F49</f>
        <v>0.1</v>
      </c>
    </row>
    <row r="50" spans="2:10" ht="15" customHeight="1">
      <c r="B50" s="202" t="s">
        <v>237</v>
      </c>
      <c r="C50" s="63" t="str">
        <f>IF(C51=0,"-",C49*$I$6)</f>
        <v>-</v>
      </c>
      <c r="D50" s="64" t="str">
        <f>IF(D51=0,"-",D49*$I$6)</f>
        <v>-</v>
      </c>
      <c r="E50" s="64" t="str">
        <f>IF(E51=0,"-",E49*$I$6)</f>
        <v>-</v>
      </c>
      <c r="F50" s="65" t="str">
        <f>IF(F51=0,"-",F49*$I$6)</f>
        <v>-</v>
      </c>
      <c r="G50" s="63" t="str">
        <f>IF(G51=0,"-",IF(ISERROR(G72)=TRUE,C50,C50*C72/G72))</f>
        <v>-</v>
      </c>
      <c r="H50" s="64" t="str">
        <f>IF(H51=0,"-",IF(ISERROR(H72)=TRUE,D50,D50*D72/H72))</f>
        <v>-</v>
      </c>
      <c r="I50" s="64" t="str">
        <f>IF(I51=0,"-",IF(ISERROR(I72)=TRUE,E50,E50*E72/I72))</f>
        <v>-</v>
      </c>
      <c r="J50" s="65" t="str">
        <f>IF(J51=0,"-",IF(ISERROR(J72)=TRUE,F50,F50*F72/J72))</f>
        <v>-</v>
      </c>
    </row>
    <row r="51" spans="2:10" ht="15" customHeight="1">
      <c r="B51" s="201" t="s">
        <v>77</v>
      </c>
      <c r="C51" s="159">
        <v>0</v>
      </c>
      <c r="D51" s="160">
        <v>0</v>
      </c>
      <c r="E51" s="160">
        <v>0</v>
      </c>
      <c r="F51" s="161">
        <v>0</v>
      </c>
      <c r="G51" s="121">
        <f>C51</f>
        <v>0</v>
      </c>
      <c r="H51" s="122">
        <f>D51</f>
        <v>0</v>
      </c>
      <c r="I51" s="122">
        <f>E51</f>
        <v>0</v>
      </c>
      <c r="J51" s="123">
        <f>F51</f>
        <v>0</v>
      </c>
    </row>
    <row r="52" spans="2:10" ht="15" customHeight="1">
      <c r="B52" s="203" t="s">
        <v>238</v>
      </c>
      <c r="C52" s="37" t="str">
        <f>IF(C51=0,"-",C51*C50)</f>
        <v>-</v>
      </c>
      <c r="D52" s="38" t="str">
        <f>IF(D51=0,"-",D51*D50)</f>
        <v>-</v>
      </c>
      <c r="E52" s="38" t="str">
        <f>IF(E51=0,"-",E51*E50)</f>
        <v>-</v>
      </c>
      <c r="F52" s="39" t="str">
        <f>IF(F51=0,"-",F51*F50)</f>
        <v>-</v>
      </c>
      <c r="G52" s="37" t="str">
        <f>IF(G51=0,"-",C52*C72/G72)</f>
        <v>-</v>
      </c>
      <c r="H52" s="38" t="str">
        <f>IF(H51=0,"-",D52*D72/H72)</f>
        <v>-</v>
      </c>
      <c r="I52" s="38" t="str">
        <f>IF(I51=0,"-",E52*E72/I72)</f>
        <v>-</v>
      </c>
      <c r="J52" s="39" t="str">
        <f>IF(J51=0,"-",F52*F72/J72)</f>
        <v>-</v>
      </c>
    </row>
    <row r="53" spans="2:10" ht="15" customHeight="1">
      <c r="B53" s="204" t="s">
        <v>76</v>
      </c>
      <c r="C53" s="132"/>
      <c r="D53" s="132"/>
      <c r="E53" s="132"/>
      <c r="F53" s="132"/>
      <c r="G53" s="132"/>
      <c r="H53" s="132"/>
      <c r="I53" s="132"/>
      <c r="J53" s="133"/>
    </row>
    <row r="54" spans="2:10" ht="15" customHeight="1">
      <c r="B54" s="201" t="s">
        <v>75</v>
      </c>
      <c r="C54" s="162" t="s">
        <v>71</v>
      </c>
      <c r="D54" s="163" t="s">
        <v>71</v>
      </c>
      <c r="E54" s="163" t="s">
        <v>71</v>
      </c>
      <c r="F54" s="164" t="s">
        <v>71</v>
      </c>
      <c r="G54" s="124" t="str">
        <f>IF(C51=0,"-",MIN(I34,C54))</f>
        <v>-</v>
      </c>
      <c r="H54" s="125" t="str">
        <f>IF(D51=0,"-",MIN(I34,D54))</f>
        <v>-</v>
      </c>
      <c r="I54" s="125" t="str">
        <f>IF(E51=0,"-",MIN(D35,E54))</f>
        <v>-</v>
      </c>
      <c r="J54" s="126" t="str">
        <f>IF(F51=0,"-",MIN(D35,F54))</f>
        <v>-</v>
      </c>
    </row>
    <row r="55" spans="2:10" ht="15" customHeight="1">
      <c r="B55" s="202" t="s">
        <v>74</v>
      </c>
      <c r="C55" s="165" t="s">
        <v>71</v>
      </c>
      <c r="D55" s="166" t="s">
        <v>71</v>
      </c>
      <c r="E55" s="166" t="s">
        <v>71</v>
      </c>
      <c r="F55" s="167" t="s">
        <v>71</v>
      </c>
      <c r="G55" s="52" t="str">
        <f>IF(G51=0,"-",(1-G54)*($D$30*$D$34/12.01)/(($D$30*$D$34/12.01)+($I$30*$D$34/32)+((((($D$30*$D$34/12.01)+2*($I$30*$D$34/32))/(1-G54)+0.25*($D$31*$D$34/1.008)-($D$32*$D$34/32)+($I$31*$D$34/28.016)/3.76)/(1/3.76-G54/(1-G54))))))</f>
        <v>-</v>
      </c>
      <c r="H55" s="53" t="str">
        <f>IF(H51=0,"-",(1-H54)*($D$30*$D$34/12.01)/(($D$30*$D$34/12.01)+($I$30*$D$34/32)+((((($D$30*$D$34/12.01)+2*($I$30*$D$34/32))/(1-H54)+0.25*($D$31*$D$34/1.008)-($D$32*$D$34/32)+($I$31*$D$34/28.016)/3.76)/(1/3.76-H54/(1-H54))))))</f>
        <v>-</v>
      </c>
      <c r="I55" s="53" t="str">
        <f>IF(I51=0,"-",(1-I54)*($D$30*$D$34/12.01)/(($D$30*$D$34/12.01)+($I$30*$D$34/32)+((((($D$30*$D$34/12.01)+2*($I$30*$D$34/32))/(1-I54)+0.25*($D$31*$D$34/1.008)-($D$32*$D$34/32)+($I$31*$D$34/28.016)/3.76)/(1/3.76-I54/(1-I54))))))</f>
        <v>-</v>
      </c>
      <c r="J55" s="54" t="str">
        <f>IF(J51=0,"-",(1-J54)*($D$30*$D$34/12.01)/(($D$30*$D$34/12.01)+($I$30*$D$34/32)+((((($D$30*$D$34/12.01)+2*($I$30*$D$34/32))/(1-J54)+0.25*($D$31*$D$34/1.008)-($D$32*$D$34/32)+($I$31*$D$34/28.016)/3.76)/(1/3.76-J54/(1-J54))))))</f>
        <v>-</v>
      </c>
    </row>
    <row r="56" spans="2:10" ht="15" customHeight="1">
      <c r="B56" s="201" t="s">
        <v>73</v>
      </c>
      <c r="C56" s="168" t="s">
        <v>71</v>
      </c>
      <c r="D56" s="169" t="s">
        <v>71</v>
      </c>
      <c r="E56" s="169" t="s">
        <v>71</v>
      </c>
      <c r="F56" s="170" t="s">
        <v>71</v>
      </c>
      <c r="G56" s="383" t="str">
        <f>IF(G51=0,"-",C56)</f>
        <v>-</v>
      </c>
      <c r="H56" s="384" t="str">
        <f>IF(H51=0,"-",D56)</f>
        <v>-</v>
      </c>
      <c r="I56" s="384" t="str">
        <f>IF(I51=0,"-",E56)</f>
        <v>-</v>
      </c>
      <c r="J56" s="385" t="str">
        <f>IF(J51=0,"-",F56)</f>
        <v>-</v>
      </c>
    </row>
    <row r="57" spans="2:10" ht="15" customHeight="1">
      <c r="B57" s="202" t="s">
        <v>72</v>
      </c>
      <c r="C57" s="171" t="s">
        <v>71</v>
      </c>
      <c r="D57" s="172" t="s">
        <v>71</v>
      </c>
      <c r="E57" s="172" t="s">
        <v>71</v>
      </c>
      <c r="F57" s="173" t="s">
        <v>71</v>
      </c>
      <c r="G57" s="55" t="str">
        <f>IF(G51=0,"-",MIN(C57,$I$19+100))</f>
        <v>-</v>
      </c>
      <c r="H57" s="56" t="str">
        <f>IF(H51=0,"-",MIN(D57,$I$19+100))</f>
        <v>-</v>
      </c>
      <c r="I57" s="56" t="str">
        <f>IF(I51=0,"-",MIN(E57,$I$19+100))</f>
        <v>-</v>
      </c>
      <c r="J57" s="57" t="str">
        <f>IF(J51=0,"-",MIN(F57,$I$19+100))</f>
        <v>-</v>
      </c>
    </row>
    <row r="58" spans="2:10" ht="15" customHeight="1">
      <c r="B58" s="201" t="s">
        <v>70</v>
      </c>
      <c r="C58" s="127" t="str">
        <f t="shared" ref="C58:J58" si="0">IF(C51=0,"-",C57-$D$10)</f>
        <v>-</v>
      </c>
      <c r="D58" s="58" t="str">
        <f t="shared" si="0"/>
        <v>-</v>
      </c>
      <c r="E58" s="58" t="str">
        <f t="shared" si="0"/>
        <v>-</v>
      </c>
      <c r="F58" s="128" t="str">
        <f t="shared" si="0"/>
        <v>-</v>
      </c>
      <c r="G58" s="127" t="str">
        <f t="shared" si="0"/>
        <v>-</v>
      </c>
      <c r="H58" s="58" t="str">
        <f t="shared" si="0"/>
        <v>-</v>
      </c>
      <c r="I58" s="58" t="str">
        <f t="shared" si="0"/>
        <v>-</v>
      </c>
      <c r="J58" s="128" t="str">
        <f t="shared" si="0"/>
        <v>-</v>
      </c>
    </row>
    <row r="59" spans="2:10" ht="15" customHeight="1">
      <c r="B59" s="198" t="s">
        <v>69</v>
      </c>
      <c r="C59" s="134"/>
      <c r="D59" s="134"/>
      <c r="E59" s="134"/>
      <c r="F59" s="134"/>
      <c r="G59" s="134"/>
      <c r="H59" s="134"/>
      <c r="I59" s="134"/>
      <c r="J59" s="135"/>
    </row>
    <row r="60" spans="2:10" ht="15" customHeight="1">
      <c r="B60" s="25" t="s">
        <v>68</v>
      </c>
      <c r="C60" s="40" t="str">
        <f>IF(C51=0,"-",C50/$I$33*1000000/60/(1-$D$33))</f>
        <v>-</v>
      </c>
      <c r="D60" s="41" t="str">
        <f t="shared" ref="D60:J60" si="1">IF(D51=0,"-",D50/$I$33*1000000/60/(1-$D$33))</f>
        <v>-</v>
      </c>
      <c r="E60" s="41" t="str">
        <f>IF(E51=0,"-",E50/$I$33*1000000/60/(1-$D$33))</f>
        <v>-</v>
      </c>
      <c r="F60" s="42" t="str">
        <f t="shared" si="1"/>
        <v>-</v>
      </c>
      <c r="G60" s="40" t="str">
        <f t="shared" si="1"/>
        <v>-</v>
      </c>
      <c r="H60" s="41" t="str">
        <f>IF(H51=0,"-",H50/$I$33*1000000/60/(1-$D$33))</f>
        <v>-</v>
      </c>
      <c r="I60" s="41" t="str">
        <f t="shared" si="1"/>
        <v>-</v>
      </c>
      <c r="J60" s="42" t="str">
        <f t="shared" si="1"/>
        <v>-</v>
      </c>
    </row>
    <row r="61" spans="2:10" ht="15" customHeight="1">
      <c r="B61" s="203" t="s">
        <v>67</v>
      </c>
      <c r="C61" s="43" t="str">
        <f>IF(C51=0,"-",C60*4.76*28.96/$D$34*((1-C54)*(($D$30*$D$34/12.01)-($D$32*$D$34/32)+0.25*($D$31*$D$34/1.008))+C54*(($D$30*$D$34/12.01)+2*($I$30*$D$34/64)))/(1-2.76*C54))</f>
        <v>-</v>
      </c>
      <c r="D61" s="44" t="str">
        <f t="shared" ref="D61:I61" si="2">IF(D51=0,"-",D60*4.76*28.96/$D$34*((1-D54)*(($D$30*$D$34/12.01)-($D$32*$D$34/32)+0.25*($D$31*$D$34/1.008))+D54*(($D$30*$D$34/12.01)+2*($I$30*$D$34/64)))/(1-2.76*D54))</f>
        <v>-</v>
      </c>
      <c r="E61" s="44" t="str">
        <f t="shared" si="2"/>
        <v>-</v>
      </c>
      <c r="F61" s="45" t="str">
        <f t="shared" si="2"/>
        <v>-</v>
      </c>
      <c r="G61" s="43" t="str">
        <f>IF(G51=0,"-",G60*4.76*28.96/$D$34*((1-G54)*(($D$30*$D$34/12.01)-($D$32*$D$34/32)+0.25*($D$31*$D$34/1.008))+G54*(($D$30*$D$34/12.01)+2*($I$30*$D$34/64)))/(1-2.76*G54))</f>
        <v>-</v>
      </c>
      <c r="H61" s="44" t="str">
        <f t="shared" si="2"/>
        <v>-</v>
      </c>
      <c r="I61" s="44" t="str">
        <f t="shared" si="2"/>
        <v>-</v>
      </c>
      <c r="J61" s="45" t="str">
        <f>IF(J51=0,"-",J60*4.76*28.96/$D$34*((1-J54)*(($D$30*$D$34/12.01)-($D$32*$D$34/32)+0.25*($D$31*$D$34/1.008))+J54*(($D$30*$D$34/12.01)+2*($I$30*$D$34/64)))/(1-2.76*J54))</f>
        <v>-</v>
      </c>
    </row>
    <row r="62" spans="2:10" ht="15" customHeight="1">
      <c r="B62" s="198" t="s">
        <v>66</v>
      </c>
      <c r="C62" s="136"/>
      <c r="D62" s="136"/>
      <c r="E62" s="136"/>
      <c r="F62" s="136"/>
      <c r="G62" s="136"/>
      <c r="H62" s="136"/>
      <c r="I62" s="136"/>
      <c r="J62" s="137"/>
    </row>
    <row r="63" spans="2:10" ht="15" customHeight="1">
      <c r="B63" s="201" t="s">
        <v>65</v>
      </c>
      <c r="C63" s="129" t="str">
        <f>IF(C51=0,"-",(44.01*C55+32*C54+28.02*(1-C55-C54-C56*0.000001)+28.01*0.000001*C56)/(12.01*(C56*0.000001+C55))*($D$30+$I$30*12.01/32.07)*0.24*C58/$I$33)</f>
        <v>-</v>
      </c>
      <c r="D63" s="130" t="str">
        <f t="shared" ref="D63:J63" si="3">IF(D51=0,"-",(44.01*D55+32*D54+28.02*(1-D55-D54-D56*0.000001)+28.01*0.000001*D56)/(12.01*(D56*0.000001+D55))*($D$30+$I$30*12.01/32.07)*0.24*D58/$I$33)</f>
        <v>-</v>
      </c>
      <c r="E63" s="130" t="str">
        <f t="shared" si="3"/>
        <v>-</v>
      </c>
      <c r="F63" s="131" t="str">
        <f t="shared" si="3"/>
        <v>-</v>
      </c>
      <c r="G63" s="129" t="str">
        <f t="shared" si="3"/>
        <v>-</v>
      </c>
      <c r="H63" s="130" t="str">
        <f t="shared" si="3"/>
        <v>-</v>
      </c>
      <c r="I63" s="130" t="str">
        <f>IF(I51=0,"-",(44.01*I55+32*I54+28.02*(1-I55-I54-I56*0.000001)+28.01*0.000001*I56)/(12.01*(I56*0.000001+I55))*($D$30+$I$30*12.01/32.07)*0.24*I58/$I$33)</f>
        <v>-</v>
      </c>
      <c r="J63" s="131" t="str">
        <f t="shared" si="3"/>
        <v>-</v>
      </c>
    </row>
    <row r="64" spans="2:10" ht="15" customHeight="1">
      <c r="B64" s="202" t="s">
        <v>64</v>
      </c>
      <c r="C64" s="46" t="str">
        <f>IF(C51=0,"-",8.936*(0.445*C57+1060.7-($D$10-32))*$D$31/$I$33)</f>
        <v>-</v>
      </c>
      <c r="D64" s="47" t="str">
        <f t="shared" ref="D64:J64" si="4">IF(D51=0,"-",8.936*(0.445*D57+1060.7-($D$10-32))*$D$31/$I$33)</f>
        <v>-</v>
      </c>
      <c r="E64" s="47" t="str">
        <f t="shared" si="4"/>
        <v>-</v>
      </c>
      <c r="F64" s="48" t="str">
        <f t="shared" si="4"/>
        <v>-</v>
      </c>
      <c r="G64" s="46" t="str">
        <f t="shared" si="4"/>
        <v>-</v>
      </c>
      <c r="H64" s="47" t="str">
        <f t="shared" si="4"/>
        <v>-</v>
      </c>
      <c r="I64" s="47" t="str">
        <f>IF(I51=0,"-",8.936*(0.445*I57+1060.7-($D$10-32))*$D$31/$I$33)</f>
        <v>-</v>
      </c>
      <c r="J64" s="48" t="str">
        <f t="shared" si="4"/>
        <v>-</v>
      </c>
    </row>
    <row r="65" spans="2:10" ht="15" customHeight="1">
      <c r="B65" s="201" t="s">
        <v>63</v>
      </c>
      <c r="C65" s="129" t="str">
        <f>IF(C51=0,"-",IF($D$33=0,0,($D$33*(0.445*C57+1060.7-($D$10-32)))/$I$33))</f>
        <v>-</v>
      </c>
      <c r="D65" s="130" t="str">
        <f t="shared" ref="D65:J65" si="5">IF(D51=0,"-",IF($D$33=0,0,($D$33*(0.445*D57+1060.7-($D$10-32)))/$I$33))</f>
        <v>-</v>
      </c>
      <c r="E65" s="130" t="str">
        <f t="shared" si="5"/>
        <v>-</v>
      </c>
      <c r="F65" s="131" t="str">
        <f t="shared" si="5"/>
        <v>-</v>
      </c>
      <c r="G65" s="129" t="str">
        <f t="shared" si="5"/>
        <v>-</v>
      </c>
      <c r="H65" s="130" t="str">
        <f t="shared" si="5"/>
        <v>-</v>
      </c>
      <c r="I65" s="130" t="str">
        <f>IF(I51=0,"-",IF($D$33=0,0,($D$33*(0.445*I57+1060.7-($D$10-32)))/$I$33))</f>
        <v>-</v>
      </c>
      <c r="J65" s="131" t="str">
        <f t="shared" si="5"/>
        <v>-</v>
      </c>
    </row>
    <row r="66" spans="2:10" ht="15" customHeight="1">
      <c r="B66" s="202" t="s">
        <v>62</v>
      </c>
      <c r="C66" s="46" t="str">
        <f>IF(C51=0,"-",C56*0.000001/(C56*0.000001+C55)*10160*$D$30/$I$33)</f>
        <v>-</v>
      </c>
      <c r="D66" s="47" t="str">
        <f t="shared" ref="D66:J66" si="6">IF(D51=0,"-",D56*0.000001/(D56*0.000001+D55)*10160*$D$30/$I$33)</f>
        <v>-</v>
      </c>
      <c r="E66" s="47" t="str">
        <f t="shared" si="6"/>
        <v>-</v>
      </c>
      <c r="F66" s="48" t="str">
        <f t="shared" si="6"/>
        <v>-</v>
      </c>
      <c r="G66" s="46" t="str">
        <f t="shared" si="6"/>
        <v>-</v>
      </c>
      <c r="H66" s="47" t="str">
        <f t="shared" si="6"/>
        <v>-</v>
      </c>
      <c r="I66" s="47" t="str">
        <f t="shared" si="6"/>
        <v>-</v>
      </c>
      <c r="J66" s="48" t="str">
        <f t="shared" si="6"/>
        <v>-</v>
      </c>
    </row>
    <row r="67" spans="2:10" ht="15" customHeight="1">
      <c r="B67" s="201" t="s">
        <v>61</v>
      </c>
      <c r="C67" s="129" t="str">
        <f>IF(C51=0,"-",$I$32)</f>
        <v>-</v>
      </c>
      <c r="D67" s="130" t="str">
        <f t="shared" ref="D67:J67" si="7">IF(D51=0,"-",$I$32)</f>
        <v>-</v>
      </c>
      <c r="E67" s="130" t="str">
        <f t="shared" si="7"/>
        <v>-</v>
      </c>
      <c r="F67" s="131" t="str">
        <f t="shared" si="7"/>
        <v>-</v>
      </c>
      <c r="G67" s="129" t="str">
        <f t="shared" si="7"/>
        <v>-</v>
      </c>
      <c r="H67" s="130" t="str">
        <f t="shared" si="7"/>
        <v>-</v>
      </c>
      <c r="I67" s="130" t="str">
        <f t="shared" si="7"/>
        <v>-</v>
      </c>
      <c r="J67" s="131" t="str">
        <f t="shared" si="7"/>
        <v>-</v>
      </c>
    </row>
    <row r="68" spans="2:10" ht="15" customHeight="1">
      <c r="B68" s="202" t="s">
        <v>60</v>
      </c>
      <c r="C68" s="46" t="str">
        <f>IF(C51=0,"-",(0.445*C57+1060.7-($D$10-32))*$D$12*(C61/C60)/$I$33)</f>
        <v>-</v>
      </c>
      <c r="D68" s="47" t="str">
        <f t="shared" ref="D68:J68" si="8">IF(D51=0,"-",(0.445*D57+1060.7-($D$10-32))*$D$12*(D61/D60)/$I$33)</f>
        <v>-</v>
      </c>
      <c r="E68" s="47" t="str">
        <f t="shared" si="8"/>
        <v>-</v>
      </c>
      <c r="F68" s="48" t="str">
        <f t="shared" si="8"/>
        <v>-</v>
      </c>
      <c r="G68" s="46" t="str">
        <f t="shared" si="8"/>
        <v>-</v>
      </c>
      <c r="H68" s="47" t="str">
        <f t="shared" si="8"/>
        <v>-</v>
      </c>
      <c r="I68" s="47" t="str">
        <f t="shared" si="8"/>
        <v>-</v>
      </c>
      <c r="J68" s="48" t="str">
        <f t="shared" si="8"/>
        <v>-</v>
      </c>
    </row>
    <row r="69" spans="2:10" ht="15" customHeight="1">
      <c r="B69" s="201" t="s">
        <v>59</v>
      </c>
      <c r="C69" s="129" t="str">
        <f t="shared" ref="C69:I69" si="9">IF(C51=0,"-",1-C63-C64-C65-C66-C67-C68)</f>
        <v>-</v>
      </c>
      <c r="D69" s="130" t="str">
        <f t="shared" si="9"/>
        <v>-</v>
      </c>
      <c r="E69" s="130" t="str">
        <f t="shared" si="9"/>
        <v>-</v>
      </c>
      <c r="F69" s="131" t="str">
        <f t="shared" si="9"/>
        <v>-</v>
      </c>
      <c r="G69" s="129" t="str">
        <f>IF(G51=0,"-",1-G63-G64-G65-G66-G67-G68)</f>
        <v>-</v>
      </c>
      <c r="H69" s="130" t="str">
        <f t="shared" si="9"/>
        <v>-</v>
      </c>
      <c r="I69" s="130" t="str">
        <f t="shared" si="9"/>
        <v>-</v>
      </c>
      <c r="J69" s="131" t="str">
        <f>IF(J51=0,"-",1-J63-J64-J65-J66-J67-J68)</f>
        <v>-</v>
      </c>
    </row>
    <row r="70" spans="2:10" ht="15" customHeight="1">
      <c r="B70" s="202" t="s">
        <v>98</v>
      </c>
      <c r="C70" s="46" t="str">
        <f t="shared" ref="C70:J70" si="10">IF(C51=0,"-",(0.359+18.2842/$I$6-7.1088/$I$6^2)/100/C49)</f>
        <v>-</v>
      </c>
      <c r="D70" s="47" t="str">
        <f t="shared" si="10"/>
        <v>-</v>
      </c>
      <c r="E70" s="47" t="str">
        <f t="shared" si="10"/>
        <v>-</v>
      </c>
      <c r="F70" s="48" t="str">
        <f t="shared" si="10"/>
        <v>-</v>
      </c>
      <c r="G70" s="46" t="str">
        <f t="shared" si="10"/>
        <v>-</v>
      </c>
      <c r="H70" s="47" t="str">
        <f t="shared" si="10"/>
        <v>-</v>
      </c>
      <c r="I70" s="47" t="str">
        <f t="shared" si="10"/>
        <v>-</v>
      </c>
      <c r="J70" s="48" t="str">
        <f t="shared" si="10"/>
        <v>-</v>
      </c>
    </row>
    <row r="71" spans="2:10" ht="15" customHeight="1">
      <c r="B71" s="201" t="s">
        <v>58</v>
      </c>
      <c r="C71" s="129" t="s">
        <v>71</v>
      </c>
      <c r="D71" s="130" t="s">
        <v>71</v>
      </c>
      <c r="E71" s="130" t="s">
        <v>71</v>
      </c>
      <c r="F71" s="131" t="str">
        <f>IF(F51=0,"-",D61*0.252*D11*(I19-D10)*2*D7/D6*(F49&lt;I7)/(1000000*F50))</f>
        <v>-</v>
      </c>
      <c r="G71" s="129" t="s">
        <v>71</v>
      </c>
      <c r="H71" s="130" t="s">
        <v>71</v>
      </c>
      <c r="I71" s="130" t="s">
        <v>71</v>
      </c>
      <c r="J71" s="131" t="str">
        <f>IF(J51=0,"-",H61*0.252*D11*(I19-D10)*2*D7/D6*(J49&lt;I7)/(1000000*J50))</f>
        <v>-</v>
      </c>
    </row>
    <row r="72" spans="2:10" ht="15" customHeight="1">
      <c r="B72" s="205" t="s">
        <v>57</v>
      </c>
      <c r="C72" s="49" t="str">
        <f>IF(C51=0,"-",IF(C69-C70&lt;0,0,C69-C70))</f>
        <v>-</v>
      </c>
      <c r="D72" s="50" t="str">
        <f>IF(D51=0,"-",IF(D69-D70&lt;0,0,D69-D70))</f>
        <v>-</v>
      </c>
      <c r="E72" s="50" t="str">
        <f>IF(E51=0,"-",IF(E69-E70&lt;0,0,E69-E70))</f>
        <v>-</v>
      </c>
      <c r="F72" s="51" t="str">
        <f>IF(F51=0,"-",IF(F69-F70-F71&lt;0,0,F69-F70-F71))</f>
        <v>-</v>
      </c>
      <c r="G72" s="49" t="str">
        <f>IF(G51=0,"-",IF(G69-G70&lt;0,0,G69-G70))</f>
        <v>-</v>
      </c>
      <c r="H72" s="50" t="str">
        <f>IF(H51=0,"-",IF(H69-H70&lt;0,0,H69-H70))</f>
        <v>-</v>
      </c>
      <c r="I72" s="50" t="str">
        <f>IF(I51=0,"-",IF(I69-I70&lt;0,0,I69-I70))</f>
        <v>-</v>
      </c>
      <c r="J72" s="51" t="str">
        <f>IF(J51=0,"-",IF(J69-J70-J71&lt;0,0,J69-J70-J71))</f>
        <v>-</v>
      </c>
    </row>
    <row r="75" spans="2:10">
      <c r="B75" s="278" t="s">
        <v>142</v>
      </c>
    </row>
    <row r="77" spans="2:10">
      <c r="B77" s="447" t="s">
        <v>227</v>
      </c>
      <c r="C77" s="447"/>
      <c r="D77" s="447"/>
      <c r="E77" s="447"/>
      <c r="F77" s="447"/>
      <c r="G77" s="447"/>
      <c r="H77" s="447"/>
      <c r="I77" s="447"/>
      <c r="J77" s="447"/>
    </row>
    <row r="78" spans="2:10">
      <c r="B78" s="447"/>
      <c r="C78" s="447"/>
      <c r="D78" s="447"/>
      <c r="E78" s="447"/>
      <c r="F78" s="447"/>
      <c r="G78" s="447"/>
      <c r="H78" s="447"/>
      <c r="I78" s="447"/>
      <c r="J78" s="447"/>
    </row>
    <row r="79" spans="2:10">
      <c r="B79" s="447"/>
      <c r="C79" s="447"/>
      <c r="D79" s="447"/>
      <c r="E79" s="447"/>
      <c r="F79" s="447"/>
      <c r="G79" s="447"/>
      <c r="H79" s="447"/>
      <c r="I79" s="447"/>
      <c r="J79" s="447"/>
    </row>
  </sheetData>
  <sheetProtection password="E0B2" sheet="1" objects="1" scenarios="1" selectLockedCells="1"/>
  <mergeCells count="63">
    <mergeCell ref="B77:J79"/>
    <mergeCell ref="B35:C35"/>
    <mergeCell ref="B37:J37"/>
    <mergeCell ref="B38:C38"/>
    <mergeCell ref="F38:H38"/>
    <mergeCell ref="B39:C39"/>
    <mergeCell ref="F39:H39"/>
    <mergeCell ref="A43:K43"/>
    <mergeCell ref="B45:J45"/>
    <mergeCell ref="B46:B47"/>
    <mergeCell ref="C46:F46"/>
    <mergeCell ref="G46:J46"/>
    <mergeCell ref="B32:C32"/>
    <mergeCell ref="F32:H32"/>
    <mergeCell ref="B33:C33"/>
    <mergeCell ref="F33:H33"/>
    <mergeCell ref="B34:C34"/>
    <mergeCell ref="F34:H34"/>
    <mergeCell ref="B31:C31"/>
    <mergeCell ref="F31:H31"/>
    <mergeCell ref="F24:H24"/>
    <mergeCell ref="B25:C25"/>
    <mergeCell ref="F25:H25"/>
    <mergeCell ref="B26:C26"/>
    <mergeCell ref="F26:H26"/>
    <mergeCell ref="B28:J28"/>
    <mergeCell ref="B29:C29"/>
    <mergeCell ref="D29:E29"/>
    <mergeCell ref="F29:H29"/>
    <mergeCell ref="B30:C30"/>
    <mergeCell ref="F30:H30"/>
    <mergeCell ref="B23:J23"/>
    <mergeCell ref="B14:J14"/>
    <mergeCell ref="B15:C15"/>
    <mergeCell ref="F15:H15"/>
    <mergeCell ref="B16:C16"/>
    <mergeCell ref="F16:H16"/>
    <mergeCell ref="B18:J18"/>
    <mergeCell ref="F19:H19"/>
    <mergeCell ref="B20:C20"/>
    <mergeCell ref="F20:H20"/>
    <mergeCell ref="B21:C21"/>
    <mergeCell ref="F21:H21"/>
    <mergeCell ref="B12:C12"/>
    <mergeCell ref="F12:H12"/>
    <mergeCell ref="B5:C5"/>
    <mergeCell ref="D5:E5"/>
    <mergeCell ref="F5:H5"/>
    <mergeCell ref="B6:C6"/>
    <mergeCell ref="F6:H6"/>
    <mergeCell ref="B7:C7"/>
    <mergeCell ref="F7:H7"/>
    <mergeCell ref="B9:J9"/>
    <mergeCell ref="B10:C10"/>
    <mergeCell ref="F10:H10"/>
    <mergeCell ref="B11:C11"/>
    <mergeCell ref="F11:H11"/>
    <mergeCell ref="A1:K1"/>
    <mergeCell ref="B3:J3"/>
    <mergeCell ref="B4:C4"/>
    <mergeCell ref="D4:E4"/>
    <mergeCell ref="F4:H4"/>
    <mergeCell ref="I4:J4"/>
  </mergeCells>
  <dataValidations count="9">
    <dataValidation type="list" allowBlank="1" showInputMessage="1" showErrorMessage="1" sqref="D29">
      <formula1>'Fuel Properties'!A7:A13</formula1>
    </dataValidation>
    <dataValidation type="list" allowBlank="1" showInputMessage="1" showErrorMessage="1" sqref="D5">
      <formula1>"Full Modulating,Low-High-Off,On-Off"</formula1>
    </dataValidation>
    <dataValidation allowBlank="1" showInputMessage="1" showErrorMessage="1" prompt="Default value is 30 seconds" sqref="D7"/>
    <dataValidation allowBlank="1" showInputMessage="1" showErrorMessage="1" prompt="Default Value is 20%" sqref="I7"/>
    <dataValidation allowBlank="1" showInputMessage="1" showErrorMessage="1" prompt="Default Value is 80F" sqref="D10"/>
    <dataValidation allowBlank="1" showInputMessage="1" showErrorMessage="1" prompt="Default Value is 50F" sqref="I10"/>
    <dataValidation allowBlank="1" showInputMessage="1" showErrorMessage="1" prompt="Default Value is 75%" sqref="D11"/>
    <dataValidation allowBlank="1" showInputMessage="1" showErrorMessage="1" prompt="Default Value is 10 psi" sqref="D15"/>
    <dataValidation allowBlank="1" showInputMessage="1" showErrorMessage="1" prompt="Default Value is 0.2 ft3/Boiler Hp" sqref="I15"/>
  </dataValidations>
  <printOptions horizontalCentered="1"/>
  <pageMargins left="0.2" right="0.2" top="0.75" bottom="0.75" header="0.3" footer="0.3"/>
  <pageSetup orientation="portrait" r:id="rId1"/>
  <rowBreaks count="1" manualBreakCount="1">
    <brk id="42" max="10" man="1"/>
  </rowBreaks>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dimension ref="A1:N79"/>
  <sheetViews>
    <sheetView view="pageBreakPreview" zoomScaleNormal="100" zoomScaleSheetLayoutView="100" workbookViewId="0">
      <selection activeCell="D4" sqref="D4:E4"/>
    </sheetView>
  </sheetViews>
  <sheetFormatPr defaultRowHeight="15"/>
  <cols>
    <col min="1" max="1" width="1.42578125" style="67" customWidth="1"/>
    <col min="2" max="2" width="19.140625" style="67" customWidth="1"/>
    <col min="3" max="10" width="9.5703125" style="67" customWidth="1"/>
    <col min="11" max="11" width="1.42578125" style="67" customWidth="1"/>
    <col min="12" max="16" width="9.28515625" style="67" customWidth="1"/>
    <col min="17" max="16384" width="9.140625" style="67"/>
  </cols>
  <sheetData>
    <row r="1" spans="1:14" ht="30" customHeight="1">
      <c r="A1" s="425" t="s">
        <v>124</v>
      </c>
      <c r="B1" s="425"/>
      <c r="C1" s="425"/>
      <c r="D1" s="425"/>
      <c r="E1" s="425"/>
      <c r="F1" s="425"/>
      <c r="G1" s="425"/>
      <c r="H1" s="425"/>
      <c r="I1" s="425"/>
      <c r="J1" s="425"/>
      <c r="K1" s="425"/>
      <c r="L1" s="174"/>
      <c r="M1" s="174"/>
    </row>
    <row r="2" spans="1:14" ht="15" customHeight="1"/>
    <row r="3" spans="1:14" ht="15" customHeight="1">
      <c r="B3" s="439" t="s">
        <v>194</v>
      </c>
      <c r="C3" s="439"/>
      <c r="D3" s="439"/>
      <c r="E3" s="439"/>
      <c r="F3" s="439"/>
      <c r="G3" s="439"/>
      <c r="H3" s="439"/>
      <c r="I3" s="439"/>
      <c r="J3" s="439"/>
    </row>
    <row r="4" spans="1:14" ht="15" customHeight="1">
      <c r="B4" s="428" t="s">
        <v>96</v>
      </c>
      <c r="C4" s="430"/>
      <c r="D4" s="437"/>
      <c r="E4" s="438"/>
      <c r="F4" s="432" t="s">
        <v>239</v>
      </c>
      <c r="G4" s="432"/>
      <c r="H4" s="432"/>
      <c r="I4" s="448"/>
      <c r="J4" s="448"/>
      <c r="K4" s="68"/>
    </row>
    <row r="5" spans="1:14" ht="15" customHeight="1">
      <c r="B5" s="432" t="s">
        <v>95</v>
      </c>
      <c r="C5" s="432"/>
      <c r="D5" s="437"/>
      <c r="E5" s="438"/>
      <c r="F5" s="428" t="s">
        <v>77</v>
      </c>
      <c r="G5" s="429"/>
      <c r="H5" s="430"/>
      <c r="I5" s="247">
        <f>SUM(C51:F51)</f>
        <v>0</v>
      </c>
      <c r="J5" s="175" t="s">
        <v>92</v>
      </c>
    </row>
    <row r="6" spans="1:14" ht="15" customHeight="1">
      <c r="B6" s="434" t="s">
        <v>176</v>
      </c>
      <c r="C6" s="434"/>
      <c r="D6" s="249" t="e">
        <f ca="1">D38/((I7-F49)*I6)*(I7/F49)*0.00006</f>
        <v>#DIV/0!</v>
      </c>
      <c r="E6" s="176" t="s">
        <v>164</v>
      </c>
      <c r="F6" s="434" t="s">
        <v>94</v>
      </c>
      <c r="G6" s="434"/>
      <c r="H6" s="434"/>
      <c r="I6" s="251"/>
      <c r="J6" s="177" t="s">
        <v>93</v>
      </c>
    </row>
    <row r="7" spans="1:14" ht="15" customHeight="1">
      <c r="B7" s="435" t="s">
        <v>162</v>
      </c>
      <c r="C7" s="435"/>
      <c r="D7" s="252"/>
      <c r="E7" s="178" t="s">
        <v>163</v>
      </c>
      <c r="F7" s="432" t="s">
        <v>160</v>
      </c>
      <c r="G7" s="432"/>
      <c r="H7" s="432"/>
      <c r="I7" s="254"/>
      <c r="J7" s="248"/>
      <c r="N7" s="179"/>
    </row>
    <row r="8" spans="1:14" ht="15" customHeight="1">
      <c r="B8" s="188"/>
      <c r="C8" s="188"/>
      <c r="D8" s="181"/>
      <c r="E8" s="188"/>
      <c r="F8" s="182"/>
      <c r="G8" s="182"/>
      <c r="H8" s="182"/>
      <c r="I8" s="183"/>
      <c r="J8" s="182"/>
      <c r="N8" s="179"/>
    </row>
    <row r="9" spans="1:14" ht="15" customHeight="1">
      <c r="B9" s="439" t="s">
        <v>195</v>
      </c>
      <c r="C9" s="439"/>
      <c r="D9" s="439"/>
      <c r="E9" s="439"/>
      <c r="F9" s="439"/>
      <c r="G9" s="439"/>
      <c r="H9" s="439"/>
      <c r="I9" s="439"/>
      <c r="J9" s="439"/>
    </row>
    <row r="10" spans="1:14" ht="15" customHeight="1">
      <c r="B10" s="426" t="s">
        <v>91</v>
      </c>
      <c r="C10" s="426"/>
      <c r="D10" s="255"/>
      <c r="E10" s="256" t="s">
        <v>226</v>
      </c>
      <c r="F10" s="431" t="s">
        <v>198</v>
      </c>
      <c r="G10" s="431"/>
      <c r="H10" s="431"/>
      <c r="I10" s="257"/>
      <c r="J10" s="184" t="s">
        <v>83</v>
      </c>
    </row>
    <row r="11" spans="1:14" ht="15" customHeight="1">
      <c r="B11" s="433" t="s">
        <v>161</v>
      </c>
      <c r="C11" s="433"/>
      <c r="D11" s="258"/>
      <c r="E11" s="250"/>
      <c r="F11" s="434" t="s">
        <v>86</v>
      </c>
      <c r="G11" s="434"/>
      <c r="H11" s="434"/>
      <c r="I11" s="259">
        <f>-0.0000000000000723527*I12^3+0.00000000795644*I12^2-0.00053178*I12+14.6958</f>
        <v>14.6958</v>
      </c>
      <c r="J11" s="185" t="s">
        <v>85</v>
      </c>
    </row>
    <row r="12" spans="1:14" ht="15" customHeight="1">
      <c r="B12" s="432" t="s">
        <v>88</v>
      </c>
      <c r="C12" s="432"/>
      <c r="D12" s="260"/>
      <c r="E12" s="253" t="s">
        <v>87</v>
      </c>
      <c r="F12" s="435" t="s">
        <v>90</v>
      </c>
      <c r="G12" s="435"/>
      <c r="H12" s="435"/>
      <c r="I12" s="260"/>
      <c r="J12" s="175" t="s">
        <v>89</v>
      </c>
    </row>
    <row r="13" spans="1:14" ht="15" customHeight="1">
      <c r="B13" s="182"/>
      <c r="C13" s="182"/>
      <c r="D13" s="186"/>
      <c r="E13" s="188"/>
      <c r="F13" s="188"/>
      <c r="G13" s="188"/>
      <c r="H13" s="188"/>
      <c r="I13" s="186"/>
      <c r="J13" s="182"/>
    </row>
    <row r="14" spans="1:14" ht="15" customHeight="1">
      <c r="B14" s="439" t="s">
        <v>196</v>
      </c>
      <c r="C14" s="439"/>
      <c r="D14" s="439"/>
      <c r="E14" s="439"/>
      <c r="F14" s="439"/>
      <c r="G14" s="439"/>
      <c r="H14" s="439"/>
      <c r="I14" s="439"/>
      <c r="J14" s="439"/>
    </row>
    <row r="15" spans="1:14" ht="15" customHeight="1">
      <c r="A15" s="87"/>
      <c r="B15" s="436" t="s">
        <v>165</v>
      </c>
      <c r="C15" s="436"/>
      <c r="D15" s="261"/>
      <c r="E15" s="187" t="s">
        <v>166</v>
      </c>
      <c r="F15" s="426" t="s">
        <v>167</v>
      </c>
      <c r="G15" s="426"/>
      <c r="H15" s="426"/>
      <c r="I15" s="262">
        <f>I6*29.876249572*0.2</f>
        <v>0</v>
      </c>
      <c r="J15" s="184" t="s">
        <v>168</v>
      </c>
    </row>
    <row r="16" spans="1:14" ht="15" customHeight="1">
      <c r="B16" s="435" t="s">
        <v>171</v>
      </c>
      <c r="C16" s="435"/>
      <c r="D16" s="309">
        <f>1.986/18</f>
        <v>0.11033333333333334</v>
      </c>
      <c r="E16" s="178" t="s">
        <v>170</v>
      </c>
      <c r="F16" s="427"/>
      <c r="G16" s="427"/>
      <c r="H16" s="427"/>
      <c r="I16" s="68"/>
    </row>
    <row r="17" spans="2:12" ht="15" customHeight="1">
      <c r="B17" s="188"/>
      <c r="C17" s="188"/>
      <c r="D17" s="189"/>
      <c r="E17" s="188"/>
      <c r="F17" s="188"/>
      <c r="G17" s="188"/>
      <c r="H17" s="188"/>
      <c r="I17" s="68"/>
    </row>
    <row r="18" spans="2:12" ht="15" customHeight="1">
      <c r="B18" s="439" t="s">
        <v>200</v>
      </c>
      <c r="C18" s="439"/>
      <c r="D18" s="439"/>
      <c r="E18" s="439"/>
      <c r="F18" s="439"/>
      <c r="G18" s="439"/>
      <c r="H18" s="439"/>
      <c r="I18" s="439"/>
      <c r="J18" s="439"/>
    </row>
    <row r="19" spans="2:12" ht="15" customHeight="1">
      <c r="B19" s="263" t="s">
        <v>207</v>
      </c>
      <c r="C19" s="264"/>
      <c r="D19" s="265"/>
      <c r="E19" s="184" t="s">
        <v>84</v>
      </c>
      <c r="F19" s="442" t="s">
        <v>208</v>
      </c>
      <c r="G19" s="443"/>
      <c r="H19" s="444"/>
      <c r="I19" s="284">
        <f ca="1">(OFFSET('Steam Properties'!$A$5,MATCH(D19,'Steam Properties'!$A$5:'Steam Properties'!$A$129,TRUE),1,1,1)-VLOOKUP(D19,'Steam Properties'!$A$5:'Steam Properties'!$F$129,2,TRUE))/(OFFSET('Steam Properties'!$A$5,MATCH(D19,'Steam Properties'!$A$5:'Steam Properties'!$A$129,TRUE),0,1,1)-VLOOKUP(D19,'Steam Properties'!$A$5:'Steam Properties'!$F$129,1,TRUE))*(D19-VLOOKUP(D19,'Steam Properties'!$A$5:'Steam Properties'!$F$129,1,TRUE))+VLOOKUP(D19,'Steam Properties'!$A$5:'Steam Properties'!$F$129,2,TRUE)</f>
        <v>212</v>
      </c>
      <c r="J19" s="184" t="s">
        <v>83</v>
      </c>
      <c r="L19" s="284"/>
    </row>
    <row r="20" spans="2:12" ht="15" customHeight="1">
      <c r="B20" s="433" t="s">
        <v>204</v>
      </c>
      <c r="C20" s="433"/>
      <c r="D20" s="266">
        <f ca="1">(OFFSET('Steam Properties'!$A$5,MATCH(D19,'Steam Properties'!$A$5:'Steam Properties'!$A$129,TRUE),1,1,1)-VLOOKUP(D19,'Steam Properties'!$A$5:'Steam Properties'!$F$129,3,TRUE))/(OFFSET('Steam Properties'!$A$5,MATCH(D19,'Steam Properties'!$A$5:'Steam Properties'!$A$129,TRUE),0,1,1)-VLOOKUP(D19,'Steam Properties'!$A$5:'Steam Properties'!$F$129,1,TRUE))*(D19-VLOOKUP(D19,'Steam Properties'!$A$5:'Steam Properties'!$F$129,1,TRUE))+VLOOKUP(D19,'Steam Properties'!$A$5:'Steam Properties'!$F$129,3,TRUE)</f>
        <v>26.8</v>
      </c>
      <c r="E20" s="190" t="s">
        <v>205</v>
      </c>
      <c r="F20" s="433" t="s">
        <v>202</v>
      </c>
      <c r="G20" s="433"/>
      <c r="H20" s="433"/>
      <c r="I20" s="267">
        <f ca="1">(OFFSET('Steam Properties'!$A$5,MATCH(D19,'Steam Properties'!$A$5:'Steam Properties'!$A$129,TRUE),1,1,1)-VLOOKUP(D19,'Steam Properties'!$A$5:'Steam Properties'!$F$129,4,TRUE))/(OFFSET('Steam Properties'!$A$5,MATCH(D19,'Steam Properties'!$A$5:'Steam Properties'!$A$129,TRUE),0,1,1)-VLOOKUP(D19,'Steam Properties'!$A$5:'Steam Properties'!$F$129,1,TRUE))*(D19-VLOOKUP(D19,'Steam Properties'!$A$5:'Steam Properties'!$F$129,1,TRUE))+VLOOKUP(D19,'Steam Properties'!$A$5:'Steam Properties'!$F$129,4,TRUE)</f>
        <v>180</v>
      </c>
      <c r="J20" s="185" t="s">
        <v>169</v>
      </c>
    </row>
    <row r="21" spans="2:12" ht="15" customHeight="1">
      <c r="B21" s="435" t="s">
        <v>201</v>
      </c>
      <c r="C21" s="435"/>
      <c r="D21" s="268">
        <f ca="1">(OFFSET('Steam Properties'!$A$5,MATCH(D19,'Steam Properties'!$A$5:'Steam Properties'!$A$129,TRUE),1,1,1)-VLOOKUP(D19,'Steam Properties'!$A$5:'Steam Properties'!$F$129,5,TRUE))/(OFFSET('Steam Properties'!$A$5,MATCH(D19,'Steam Properties'!$A$5:'Steam Properties'!$A$129,TRUE),0,1,1)-VLOOKUP(D19,'Steam Properties'!$A$5:'Steam Properties'!$F$129,1,TRUE))*(D19-VLOOKUP(D19,'Steam Properties'!$A$5:'Steam Properties'!$F$129,1,TRUE))+VLOOKUP(D19,'Steam Properties'!$A$5:'Steam Properties'!$F$129,5,TRUE)</f>
        <v>970</v>
      </c>
      <c r="E21" s="178" t="s">
        <v>169</v>
      </c>
      <c r="F21" s="435" t="s">
        <v>203</v>
      </c>
      <c r="G21" s="435"/>
      <c r="H21" s="435"/>
      <c r="I21" s="269">
        <f ca="1">(OFFSET('Steam Properties'!$A$5,MATCH(D19,'Steam Properties'!$A$5:'Steam Properties'!$A$129,TRUE),1,1,1)-VLOOKUP(D19,'Steam Properties'!$A$5:'Steam Properties'!$F$129,6,TRUE))/(OFFSET('Steam Properties'!$A$5,MATCH(D19,'Steam Properties'!$A$5:'Steam Properties'!$A$129,TRUE),0,1,1)-VLOOKUP(D19,'Steam Properties'!$A$5:'Steam Properties'!$F$129,1,TRUE))*(D19-VLOOKUP(D19,'Steam Properties'!$A$5:'Steam Properties'!$F$129,1,TRUE))+VLOOKUP(D19,'Steam Properties'!$A$5:'Steam Properties'!$F$129,6,TRUE)</f>
        <v>1150</v>
      </c>
      <c r="J21" s="178" t="s">
        <v>169</v>
      </c>
    </row>
    <row r="22" spans="2:12" ht="15" customHeight="1">
      <c r="B22" s="188"/>
      <c r="C22" s="188"/>
      <c r="D22" s="191"/>
      <c r="E22" s="188"/>
      <c r="F22" s="188"/>
      <c r="G22" s="188"/>
      <c r="H22" s="188"/>
      <c r="I22" s="153"/>
      <c r="J22" s="188"/>
    </row>
    <row r="23" spans="2:12" ht="15" customHeight="1">
      <c r="B23" s="439" t="s">
        <v>206</v>
      </c>
      <c r="C23" s="439"/>
      <c r="D23" s="439"/>
      <c r="E23" s="439"/>
      <c r="F23" s="439"/>
      <c r="G23" s="439"/>
      <c r="H23" s="439"/>
      <c r="I23" s="439"/>
      <c r="J23" s="439"/>
    </row>
    <row r="24" spans="2:12" ht="15" customHeight="1">
      <c r="B24" s="263" t="s">
        <v>209</v>
      </c>
      <c r="C24" s="264"/>
      <c r="D24" s="265"/>
      <c r="E24" s="184" t="s">
        <v>84</v>
      </c>
      <c r="F24" s="442" t="s">
        <v>210</v>
      </c>
      <c r="G24" s="443"/>
      <c r="H24" s="444"/>
      <c r="I24" s="284">
        <f ca="1">(OFFSET('Steam Properties'!$A$5,MATCH(D24,'Steam Properties'!$A$5:'Steam Properties'!$A$129,TRUE),1,1,1)-VLOOKUP(D24,'Steam Properties'!$A$5:'Steam Properties'!$F$129,2,TRUE))/(OFFSET('Steam Properties'!$A$5,MATCH(D24,'Steam Properties'!$A$5:'Steam Properties'!$A$129,TRUE),0,1,1)-VLOOKUP(D24,'Steam Properties'!$A$5:'Steam Properties'!$F$129,1,TRUE))*(D24-VLOOKUP(D24,'Steam Properties'!$A$5:'Steam Properties'!$F$129,1,TRUE))+VLOOKUP(D24,'Steam Properties'!$A$5:'Steam Properties'!$F$129,2,TRUE)</f>
        <v>212</v>
      </c>
      <c r="J24" s="184" t="s">
        <v>83</v>
      </c>
      <c r="L24" s="284"/>
    </row>
    <row r="25" spans="2:12" ht="15" customHeight="1">
      <c r="B25" s="433" t="s">
        <v>204</v>
      </c>
      <c r="C25" s="433"/>
      <c r="D25" s="266">
        <f ca="1">(OFFSET('Steam Properties'!$A$5,MATCH(D24,'Steam Properties'!$A$5:'Steam Properties'!$A$129,TRUE),1,1,1)-VLOOKUP(D24,'Steam Properties'!$A$5:'Steam Properties'!$F$129,3,TRUE))/(OFFSET('Steam Properties'!$A$5,MATCH(D24,'Steam Properties'!$A$5:'Steam Properties'!$A$129,TRUE),0,1,1)-VLOOKUP(D24,'Steam Properties'!$A$5:'Steam Properties'!$F$129,1,TRUE))*(D24-VLOOKUP(D24,'Steam Properties'!$A$5:'Steam Properties'!$F$129,1,TRUE))+VLOOKUP(D24,'Steam Properties'!$A$5:'Steam Properties'!$F$129,3,TRUE)</f>
        <v>26.8</v>
      </c>
      <c r="E25" s="190" t="s">
        <v>205</v>
      </c>
      <c r="F25" s="433" t="s">
        <v>202</v>
      </c>
      <c r="G25" s="433"/>
      <c r="H25" s="433"/>
      <c r="I25" s="267">
        <f ca="1">(OFFSET('Steam Properties'!$A$5,MATCH(D24,'Steam Properties'!$A$5:'Steam Properties'!$A$129,TRUE),1,1,1)-VLOOKUP(D24,'Steam Properties'!$A$5:'Steam Properties'!$F$129,4,TRUE))/(OFFSET('Steam Properties'!$A$5,MATCH(D24,'Steam Properties'!$A$5:'Steam Properties'!$A$129,TRUE),0,1,1)-VLOOKUP(D24,'Steam Properties'!$A$5:'Steam Properties'!$F$129,1,TRUE))*(D24-VLOOKUP(D24,'Steam Properties'!$A$5:'Steam Properties'!$F$129,1,TRUE))+VLOOKUP(D24,'Steam Properties'!$A$5:'Steam Properties'!$F$129,4,TRUE)</f>
        <v>180</v>
      </c>
      <c r="J25" s="185" t="s">
        <v>169</v>
      </c>
    </row>
    <row r="26" spans="2:12" ht="15" customHeight="1">
      <c r="B26" s="435" t="s">
        <v>201</v>
      </c>
      <c r="C26" s="435"/>
      <c r="D26" s="268">
        <f ca="1">(OFFSET('Steam Properties'!$A$5,MATCH(D24,'Steam Properties'!$A$5:'Steam Properties'!$A$129,TRUE),1,1,1)-VLOOKUP(D24,'Steam Properties'!$A$5:'Steam Properties'!$F$129,5,TRUE))/(OFFSET('Steam Properties'!$A$5,MATCH(D24,'Steam Properties'!$A$5:'Steam Properties'!$A$129,TRUE),0,1,1)-VLOOKUP(D24,'Steam Properties'!$A$5:'Steam Properties'!$F$129,1,TRUE))*(D24-VLOOKUP(D24,'Steam Properties'!$A$5:'Steam Properties'!$F$129,1,TRUE))+VLOOKUP(D24,'Steam Properties'!$A$5:'Steam Properties'!$F$129,5,TRUE)</f>
        <v>970</v>
      </c>
      <c r="E26" s="178" t="s">
        <v>169</v>
      </c>
      <c r="F26" s="435" t="s">
        <v>203</v>
      </c>
      <c r="G26" s="435"/>
      <c r="H26" s="435"/>
      <c r="I26" s="268">
        <f ca="1">(OFFSET('Steam Properties'!$A$5,MATCH(D24,'Steam Properties'!$A$5:'Steam Properties'!$A$129,TRUE),1,1,1)-VLOOKUP(D24,'Steam Properties'!$A$5:'Steam Properties'!$F$129,6,TRUE))/(OFFSET('Steam Properties'!$A$5,MATCH(D24,'Steam Properties'!$A$5:'Steam Properties'!$A$129,TRUE),0,1,1)-VLOOKUP(D24,'Steam Properties'!$A$5:'Steam Properties'!$F$129,1,TRUE))*(D24-VLOOKUP(D24,'Steam Properties'!$A$5:'Steam Properties'!$F$129,1,TRUE))+VLOOKUP(D24,'Steam Properties'!$A$5:'Steam Properties'!$F$129,6,TRUE)</f>
        <v>1150</v>
      </c>
      <c r="J26" s="178" t="s">
        <v>169</v>
      </c>
    </row>
    <row r="27" spans="2:12" ht="15" customHeight="1">
      <c r="B27" s="188"/>
      <c r="C27" s="188"/>
      <c r="D27" s="191"/>
      <c r="E27" s="188"/>
      <c r="F27" s="188"/>
      <c r="G27" s="188"/>
      <c r="H27" s="188"/>
      <c r="I27" s="191"/>
      <c r="J27" s="188"/>
    </row>
    <row r="28" spans="2:12" ht="15" customHeight="1">
      <c r="B28" s="439" t="s">
        <v>211</v>
      </c>
      <c r="C28" s="439"/>
      <c r="D28" s="439"/>
      <c r="E28" s="439"/>
      <c r="F28" s="439"/>
      <c r="G28" s="439"/>
      <c r="H28" s="439"/>
      <c r="I28" s="439"/>
      <c r="J28" s="439"/>
    </row>
    <row r="29" spans="2:12" ht="15" customHeight="1">
      <c r="B29" s="442" t="s">
        <v>56</v>
      </c>
      <c r="C29" s="444"/>
      <c r="D29" s="440"/>
      <c r="E29" s="441"/>
      <c r="F29" s="442" t="s">
        <v>199</v>
      </c>
      <c r="G29" s="443"/>
      <c r="H29" s="444"/>
      <c r="I29" s="270"/>
      <c r="J29" s="184" t="s">
        <v>223</v>
      </c>
    </row>
    <row r="30" spans="2:12" ht="15" customHeight="1">
      <c r="B30" s="435" t="s">
        <v>212</v>
      </c>
      <c r="C30" s="435"/>
      <c r="D30" s="271" t="e">
        <f>VLOOKUP($D$29,'Fuel Properties'!$A$7:$L$13,2,FALSE)</f>
        <v>#N/A</v>
      </c>
      <c r="E30" s="192" t="s">
        <v>39</v>
      </c>
      <c r="F30" s="435" t="s">
        <v>213</v>
      </c>
      <c r="G30" s="435"/>
      <c r="H30" s="435"/>
      <c r="I30" s="271" t="e">
        <f>VLOOKUP($D$29,'Fuel Properties'!$A$7:$L$13,3,FALSE)</f>
        <v>#N/A</v>
      </c>
      <c r="J30" s="178" t="s">
        <v>38</v>
      </c>
    </row>
    <row r="31" spans="2:12" ht="15" customHeight="1">
      <c r="B31" s="445" t="s">
        <v>214</v>
      </c>
      <c r="C31" s="446"/>
      <c r="D31" s="271" t="e">
        <f>VLOOKUP($D$29,'Fuel Properties'!$A$7:$L$13,4,FALSE)</f>
        <v>#N/A</v>
      </c>
      <c r="E31" s="178" t="s">
        <v>37</v>
      </c>
      <c r="F31" s="435" t="s">
        <v>215</v>
      </c>
      <c r="G31" s="435"/>
      <c r="H31" s="435"/>
      <c r="I31" s="271" t="e">
        <f>VLOOKUP($D$29,'Fuel Properties'!$A$7:$L$13,5,FALSE)</f>
        <v>#N/A</v>
      </c>
      <c r="J31" s="178" t="s">
        <v>221</v>
      </c>
    </row>
    <row r="32" spans="2:12" ht="15" customHeight="1">
      <c r="B32" s="435" t="s">
        <v>216</v>
      </c>
      <c r="C32" s="435"/>
      <c r="D32" s="271" t="e">
        <f>VLOOKUP($D$29,'Fuel Properties'!$A$7:$L$13,6,FALSE)</f>
        <v>#N/A</v>
      </c>
      <c r="E32" s="192" t="s">
        <v>222</v>
      </c>
      <c r="F32" s="435" t="s">
        <v>217</v>
      </c>
      <c r="G32" s="435"/>
      <c r="H32" s="435"/>
      <c r="I32" s="271" t="e">
        <f>VLOOKUP($D$29,'Fuel Properties'!$A$7:$L$13,7,FALSE)</f>
        <v>#N/A</v>
      </c>
      <c r="J32" s="178"/>
    </row>
    <row r="33" spans="1:13" ht="15" customHeight="1">
      <c r="B33" s="435" t="s">
        <v>218</v>
      </c>
      <c r="C33" s="435"/>
      <c r="D33" s="271" t="e">
        <f>VLOOKUP($D$29,'Fuel Properties'!$A$7:$L$13,8,FALSE)</f>
        <v>#N/A</v>
      </c>
      <c r="E33" s="192"/>
      <c r="F33" s="435" t="s">
        <v>219</v>
      </c>
      <c r="G33" s="435"/>
      <c r="H33" s="435"/>
      <c r="I33" s="272" t="e">
        <f>VLOOKUP($D$29,'Fuel Properties'!$A$7:$L$13,9,FALSE)</f>
        <v>#N/A</v>
      </c>
      <c r="J33" s="178" t="s">
        <v>169</v>
      </c>
    </row>
    <row r="34" spans="1:13" ht="15" customHeight="1">
      <c r="B34" s="454" t="s">
        <v>220</v>
      </c>
      <c r="C34" s="455"/>
      <c r="D34" s="267" t="e">
        <f>VLOOKUP($D$29,'Fuel Properties'!$A$7:$L$13,10,FALSE)</f>
        <v>#N/A</v>
      </c>
      <c r="E34" s="185" t="s">
        <v>234</v>
      </c>
      <c r="F34" s="435" t="s">
        <v>235</v>
      </c>
      <c r="G34" s="435"/>
      <c r="H34" s="435"/>
      <c r="I34" s="271" t="e">
        <f>VLOOKUP($D$29,'Fuel Properties'!$A$7:$L$13,11,FALSE)</f>
        <v>#N/A</v>
      </c>
      <c r="J34" s="192" t="s">
        <v>222</v>
      </c>
    </row>
    <row r="35" spans="1:13" ht="15" customHeight="1">
      <c r="B35" s="435" t="s">
        <v>236</v>
      </c>
      <c r="C35" s="435"/>
      <c r="D35" s="271" t="e">
        <f>VLOOKUP($D$29,'Fuel Properties'!$A$7:$L$13,12,FALSE)</f>
        <v>#N/A</v>
      </c>
      <c r="E35" s="192" t="s">
        <v>222</v>
      </c>
      <c r="F35" s="273"/>
      <c r="G35" s="273"/>
      <c r="H35" s="273"/>
      <c r="I35" s="179"/>
      <c r="J35" s="273"/>
    </row>
    <row r="36" spans="1:13" ht="15" customHeight="1">
      <c r="B36" s="188"/>
      <c r="C36" s="188"/>
      <c r="D36" s="193"/>
      <c r="E36" s="188"/>
      <c r="F36" s="188"/>
      <c r="G36" s="188"/>
      <c r="H36" s="188"/>
      <c r="I36" s="191"/>
      <c r="J36" s="188"/>
    </row>
    <row r="37" spans="1:13" ht="15" customHeight="1">
      <c r="B37" s="439" t="s">
        <v>197</v>
      </c>
      <c r="C37" s="439"/>
      <c r="D37" s="439"/>
      <c r="E37" s="439"/>
      <c r="F37" s="439"/>
      <c r="G37" s="439"/>
      <c r="H37" s="439"/>
      <c r="I37" s="439"/>
      <c r="J37" s="439"/>
    </row>
    <row r="38" spans="1:13" ht="15" customHeight="1">
      <c r="B38" s="426" t="s">
        <v>175</v>
      </c>
      <c r="C38" s="426"/>
      <c r="D38" s="274">
        <f ca="1">(D15*I15*I21)/(D16*(I19+460))</f>
        <v>0</v>
      </c>
      <c r="E38" s="194"/>
      <c r="F38" s="426" t="s">
        <v>172</v>
      </c>
      <c r="G38" s="426"/>
      <c r="H38" s="426"/>
      <c r="I38" s="275" t="e">
        <f ca="1">D38/(F49*I6)/(I7/F49-1)*0.00006</f>
        <v>#DIV/0!</v>
      </c>
      <c r="J38" s="194" t="s">
        <v>164</v>
      </c>
    </row>
    <row r="39" spans="1:13" ht="15" customHeight="1">
      <c r="B39" s="435" t="s">
        <v>173</v>
      </c>
      <c r="C39" s="435"/>
      <c r="D39" s="276" t="e">
        <f ca="1">D38/(F49*I6)/(1-F49/I7)*0.00006</f>
        <v>#DIV/0!</v>
      </c>
      <c r="E39" s="175" t="s">
        <v>164</v>
      </c>
      <c r="F39" s="435" t="s">
        <v>174</v>
      </c>
      <c r="G39" s="435"/>
      <c r="H39" s="435"/>
      <c r="I39" s="277" t="e">
        <f ca="1">D38/(F49*I6)*0.00006</f>
        <v>#DIV/0!</v>
      </c>
      <c r="J39" s="175" t="s">
        <v>164</v>
      </c>
    </row>
    <row r="40" spans="1:13" ht="15" customHeight="1">
      <c r="B40" s="188"/>
      <c r="C40" s="188"/>
      <c r="D40" s="154"/>
      <c r="E40" s="182"/>
      <c r="F40" s="188"/>
      <c r="G40" s="188"/>
      <c r="H40" s="188"/>
      <c r="I40" s="155"/>
      <c r="J40" s="182"/>
    </row>
    <row r="41" spans="1:13" ht="15" customHeight="1">
      <c r="B41" s="188"/>
      <c r="C41" s="188"/>
      <c r="D41" s="154"/>
      <c r="E41" s="182"/>
      <c r="F41" s="188"/>
      <c r="G41" s="188"/>
      <c r="H41" s="188"/>
      <c r="I41" s="155"/>
      <c r="J41" s="182"/>
    </row>
    <row r="42" spans="1:13" ht="15" customHeight="1">
      <c r="B42" s="188"/>
      <c r="C42" s="188"/>
      <c r="D42" s="154"/>
      <c r="E42" s="182"/>
      <c r="F42" s="188"/>
      <c r="G42" s="188"/>
      <c r="H42" s="188"/>
      <c r="I42" s="155"/>
      <c r="J42" s="182"/>
    </row>
    <row r="43" spans="1:13" ht="30" customHeight="1">
      <c r="A43" s="425" t="s">
        <v>124</v>
      </c>
      <c r="B43" s="425"/>
      <c r="C43" s="425"/>
      <c r="D43" s="425"/>
      <c r="E43" s="425"/>
      <c r="F43" s="425"/>
      <c r="G43" s="425"/>
      <c r="H43" s="425"/>
      <c r="I43" s="425"/>
      <c r="J43" s="425"/>
      <c r="K43" s="425"/>
    </row>
    <row r="44" spans="1:13" ht="15" customHeight="1"/>
    <row r="45" spans="1:13" ht="15" customHeight="1">
      <c r="B45" s="439" t="s">
        <v>57</v>
      </c>
      <c r="C45" s="439"/>
      <c r="D45" s="439"/>
      <c r="E45" s="439"/>
      <c r="F45" s="439"/>
      <c r="G45" s="439"/>
      <c r="H45" s="439"/>
      <c r="I45" s="439"/>
      <c r="J45" s="439"/>
    </row>
    <row r="46" spans="1:13" ht="15" customHeight="1">
      <c r="B46" s="452"/>
      <c r="C46" s="449" t="s">
        <v>100</v>
      </c>
      <c r="D46" s="450"/>
      <c r="E46" s="450"/>
      <c r="F46" s="451"/>
      <c r="G46" s="449" t="s">
        <v>82</v>
      </c>
      <c r="H46" s="450"/>
      <c r="I46" s="450"/>
      <c r="J46" s="451"/>
      <c r="M46" s="195"/>
    </row>
    <row r="47" spans="1:13" ht="15" customHeight="1">
      <c r="B47" s="453"/>
      <c r="C47" s="196" t="s">
        <v>51</v>
      </c>
      <c r="D47" s="197" t="s">
        <v>81</v>
      </c>
      <c r="E47" s="196" t="s">
        <v>50</v>
      </c>
      <c r="F47" s="197" t="s">
        <v>80</v>
      </c>
      <c r="G47" s="196" t="s">
        <v>51</v>
      </c>
      <c r="H47" s="197" t="s">
        <v>81</v>
      </c>
      <c r="I47" s="196" t="s">
        <v>50</v>
      </c>
      <c r="J47" s="197" t="s">
        <v>80</v>
      </c>
    </row>
    <row r="48" spans="1:13" ht="15" customHeight="1">
      <c r="B48" s="198" t="s">
        <v>79</v>
      </c>
      <c r="C48" s="199"/>
      <c r="D48" s="199"/>
      <c r="E48" s="199"/>
      <c r="F48" s="199"/>
      <c r="G48" s="199"/>
      <c r="H48" s="199"/>
      <c r="I48" s="199"/>
      <c r="J48" s="200"/>
    </row>
    <row r="49" spans="2:10" ht="15" customHeight="1">
      <c r="B49" s="201" t="s">
        <v>78</v>
      </c>
      <c r="C49" s="156">
        <v>1</v>
      </c>
      <c r="D49" s="157">
        <v>0.7</v>
      </c>
      <c r="E49" s="157">
        <v>0.4</v>
      </c>
      <c r="F49" s="158">
        <v>0.1</v>
      </c>
      <c r="G49" s="118">
        <f>C49</f>
        <v>1</v>
      </c>
      <c r="H49" s="119">
        <f>D49</f>
        <v>0.7</v>
      </c>
      <c r="I49" s="119">
        <f>E49</f>
        <v>0.4</v>
      </c>
      <c r="J49" s="120">
        <f>F49</f>
        <v>0.1</v>
      </c>
    </row>
    <row r="50" spans="2:10" ht="15" customHeight="1">
      <c r="B50" s="202" t="s">
        <v>237</v>
      </c>
      <c r="C50" s="63" t="str">
        <f>IF(C51=0,"-",C49*$I$6)</f>
        <v>-</v>
      </c>
      <c r="D50" s="64" t="str">
        <f>IF(D51=0,"-",D49*$I$6)</f>
        <v>-</v>
      </c>
      <c r="E50" s="64" t="str">
        <f>IF(E51=0,"-",E49*$I$6)</f>
        <v>-</v>
      </c>
      <c r="F50" s="65" t="str">
        <f>IF(F51=0,"-",F49*$I$6)</f>
        <v>-</v>
      </c>
      <c r="G50" s="63" t="str">
        <f>IF(G51=0,"-",IF(ISERROR(G72)=TRUE,C50,C50*C72/G72))</f>
        <v>-</v>
      </c>
      <c r="H50" s="64" t="str">
        <f>IF(H51=0,"-",IF(ISERROR(H72)=TRUE,D50,D50*D72/H72))</f>
        <v>-</v>
      </c>
      <c r="I50" s="64" t="str">
        <f>IF(I51=0,"-",IF(ISERROR(I72)=TRUE,E50,E50*E72/I72))</f>
        <v>-</v>
      </c>
      <c r="J50" s="65" t="str">
        <f>IF(J51=0,"-",IF(ISERROR(J72)=TRUE,F50,F50*F72/J72))</f>
        <v>-</v>
      </c>
    </row>
    <row r="51" spans="2:10" ht="15" customHeight="1">
      <c r="B51" s="201" t="s">
        <v>77</v>
      </c>
      <c r="C51" s="159">
        <v>0</v>
      </c>
      <c r="D51" s="160">
        <v>0</v>
      </c>
      <c r="E51" s="160">
        <v>0</v>
      </c>
      <c r="F51" s="161">
        <v>0</v>
      </c>
      <c r="G51" s="121">
        <f>C51</f>
        <v>0</v>
      </c>
      <c r="H51" s="122">
        <f>D51</f>
        <v>0</v>
      </c>
      <c r="I51" s="122">
        <f>E51</f>
        <v>0</v>
      </c>
      <c r="J51" s="123">
        <f>F51</f>
        <v>0</v>
      </c>
    </row>
    <row r="52" spans="2:10" ht="15" customHeight="1">
      <c r="B52" s="203" t="s">
        <v>238</v>
      </c>
      <c r="C52" s="37" t="str">
        <f>IF(C51=0,"-",C51*C50)</f>
        <v>-</v>
      </c>
      <c r="D52" s="38" t="str">
        <f>IF(D51=0,"-",D51*D50)</f>
        <v>-</v>
      </c>
      <c r="E52" s="38" t="str">
        <f>IF(E51=0,"-",E51*E50)</f>
        <v>-</v>
      </c>
      <c r="F52" s="39" t="str">
        <f>IF(F51=0,"-",F51*F50)</f>
        <v>-</v>
      </c>
      <c r="G52" s="37" t="str">
        <f>IF(G51=0,"-",C52*C72/G72)</f>
        <v>-</v>
      </c>
      <c r="H52" s="38" t="str">
        <f>IF(H51=0,"-",D52*D72/H72)</f>
        <v>-</v>
      </c>
      <c r="I52" s="38" t="str">
        <f>IF(I51=0,"-",E52*E72/I72)</f>
        <v>-</v>
      </c>
      <c r="J52" s="39" t="str">
        <f>IF(J51=0,"-",F52*F72/J72)</f>
        <v>-</v>
      </c>
    </row>
    <row r="53" spans="2:10" ht="15" customHeight="1">
      <c r="B53" s="204" t="s">
        <v>76</v>
      </c>
      <c r="C53" s="132"/>
      <c r="D53" s="132"/>
      <c r="E53" s="132"/>
      <c r="F53" s="132"/>
      <c r="G53" s="132"/>
      <c r="H53" s="132"/>
      <c r="I53" s="132"/>
      <c r="J53" s="133"/>
    </row>
    <row r="54" spans="2:10" ht="15" customHeight="1">
      <c r="B54" s="201" t="s">
        <v>75</v>
      </c>
      <c r="C54" s="162" t="s">
        <v>71</v>
      </c>
      <c r="D54" s="163" t="s">
        <v>71</v>
      </c>
      <c r="E54" s="163" t="s">
        <v>71</v>
      </c>
      <c r="F54" s="164" t="s">
        <v>71</v>
      </c>
      <c r="G54" s="124" t="str">
        <f>IF(C51=0,"-",MIN(I34,C54))</f>
        <v>-</v>
      </c>
      <c r="H54" s="125" t="str">
        <f>IF(D51=0,"-",MIN(I34,D54))</f>
        <v>-</v>
      </c>
      <c r="I54" s="125" t="str">
        <f>IF(E51=0,"-",MIN(D35,E54))</f>
        <v>-</v>
      </c>
      <c r="J54" s="126" t="str">
        <f>IF(F51=0,"-",MIN(D35,F54))</f>
        <v>-</v>
      </c>
    </row>
    <row r="55" spans="2:10" ht="15" customHeight="1">
      <c r="B55" s="202" t="s">
        <v>74</v>
      </c>
      <c r="C55" s="165" t="s">
        <v>71</v>
      </c>
      <c r="D55" s="166" t="s">
        <v>71</v>
      </c>
      <c r="E55" s="166" t="s">
        <v>71</v>
      </c>
      <c r="F55" s="167" t="s">
        <v>71</v>
      </c>
      <c r="G55" s="52" t="str">
        <f>IF(G51=0,"-",(1-G54)*($D$30*$D$34/12.01)/(($D$30*$D$34/12.01)+($I$30*$D$34/32)+((((($D$30*$D$34/12.01)+2*($I$30*$D$34/32))/(1-G54)+0.25*($D$31*$D$34/1.008)-($D$32*$D$34/32)+($I$31*$D$34/28.016)/3.76)/(1/3.76-G54/(1-G54))))))</f>
        <v>-</v>
      </c>
      <c r="H55" s="53" t="str">
        <f>IF(H51=0,"-",(1-H54)*($D$30*$D$34/12.01)/(($D$30*$D$34/12.01)+($I$30*$D$34/32)+((((($D$30*$D$34/12.01)+2*($I$30*$D$34/32))/(1-H54)+0.25*($D$31*$D$34/1.008)-($D$32*$D$34/32)+($I$31*$D$34/28.016)/3.76)/(1/3.76-H54/(1-H54))))))</f>
        <v>-</v>
      </c>
      <c r="I55" s="53" t="str">
        <f>IF(I51=0,"-",(1-I54)*($D$30*$D$34/12.01)/(($D$30*$D$34/12.01)+($I$30*$D$34/32)+((((($D$30*$D$34/12.01)+2*($I$30*$D$34/32))/(1-I54)+0.25*($D$31*$D$34/1.008)-($D$32*$D$34/32)+($I$31*$D$34/28.016)/3.76)/(1/3.76-I54/(1-I54))))))</f>
        <v>-</v>
      </c>
      <c r="J55" s="54" t="str">
        <f>IF(J51=0,"-",(1-J54)*($D$30*$D$34/12.01)/(($D$30*$D$34/12.01)+($I$30*$D$34/32)+((((($D$30*$D$34/12.01)+2*($I$30*$D$34/32))/(1-J54)+0.25*($D$31*$D$34/1.008)-($D$32*$D$34/32)+($I$31*$D$34/28.016)/3.76)/(1/3.76-J54/(1-J54))))))</f>
        <v>-</v>
      </c>
    </row>
    <row r="56" spans="2:10" ht="15" customHeight="1">
      <c r="B56" s="201" t="s">
        <v>73</v>
      </c>
      <c r="C56" s="168" t="s">
        <v>71</v>
      </c>
      <c r="D56" s="169" t="s">
        <v>71</v>
      </c>
      <c r="E56" s="169" t="s">
        <v>71</v>
      </c>
      <c r="F56" s="170" t="s">
        <v>71</v>
      </c>
      <c r="G56" s="383" t="str">
        <f>IF(G51=0,"-",C56)</f>
        <v>-</v>
      </c>
      <c r="H56" s="384" t="str">
        <f>IF(H51=0,"-",D56)</f>
        <v>-</v>
      </c>
      <c r="I56" s="384" t="str">
        <f>IF(I51=0,"-",E56)</f>
        <v>-</v>
      </c>
      <c r="J56" s="385" t="str">
        <f>IF(J51=0,"-",F56)</f>
        <v>-</v>
      </c>
    </row>
    <row r="57" spans="2:10" ht="15" customHeight="1">
      <c r="B57" s="202" t="s">
        <v>72</v>
      </c>
      <c r="C57" s="171" t="s">
        <v>71</v>
      </c>
      <c r="D57" s="172" t="s">
        <v>71</v>
      </c>
      <c r="E57" s="172" t="s">
        <v>71</v>
      </c>
      <c r="F57" s="173" t="s">
        <v>71</v>
      </c>
      <c r="G57" s="55" t="str">
        <f>IF(G51=0,"-",MIN(C57,$I$19+100))</f>
        <v>-</v>
      </c>
      <c r="H57" s="56" t="str">
        <f>IF(H51=0,"-",MIN(D57,$I$19+100))</f>
        <v>-</v>
      </c>
      <c r="I57" s="56" t="str">
        <f>IF(I51=0,"-",MIN(E57,$I$19+100))</f>
        <v>-</v>
      </c>
      <c r="J57" s="57" t="str">
        <f>IF(J51=0,"-",MIN(F57,$I$19+100))</f>
        <v>-</v>
      </c>
    </row>
    <row r="58" spans="2:10" ht="15" customHeight="1">
      <c r="B58" s="201" t="s">
        <v>70</v>
      </c>
      <c r="C58" s="127" t="str">
        <f t="shared" ref="C58:J58" si="0">IF(C51=0,"-",C57-$D$10)</f>
        <v>-</v>
      </c>
      <c r="D58" s="58" t="str">
        <f t="shared" si="0"/>
        <v>-</v>
      </c>
      <c r="E58" s="58" t="str">
        <f t="shared" si="0"/>
        <v>-</v>
      </c>
      <c r="F58" s="128" t="str">
        <f t="shared" si="0"/>
        <v>-</v>
      </c>
      <c r="G58" s="127" t="str">
        <f t="shared" si="0"/>
        <v>-</v>
      </c>
      <c r="H58" s="58" t="str">
        <f t="shared" si="0"/>
        <v>-</v>
      </c>
      <c r="I58" s="58" t="str">
        <f t="shared" si="0"/>
        <v>-</v>
      </c>
      <c r="J58" s="128" t="str">
        <f t="shared" si="0"/>
        <v>-</v>
      </c>
    </row>
    <row r="59" spans="2:10" ht="15" customHeight="1">
      <c r="B59" s="198" t="s">
        <v>69</v>
      </c>
      <c r="C59" s="134"/>
      <c r="D59" s="134"/>
      <c r="E59" s="134"/>
      <c r="F59" s="134"/>
      <c r="G59" s="134"/>
      <c r="H59" s="134"/>
      <c r="I59" s="134"/>
      <c r="J59" s="135"/>
    </row>
    <row r="60" spans="2:10" ht="15" customHeight="1">
      <c r="B60" s="25" t="s">
        <v>68</v>
      </c>
      <c r="C60" s="40" t="str">
        <f>IF(C51=0,"-",C50/$I$33*1000000/60/(1-$D$33))</f>
        <v>-</v>
      </c>
      <c r="D60" s="41" t="str">
        <f t="shared" ref="D60:J60" si="1">IF(D51=0,"-",D50/$I$33*1000000/60/(1-$D$33))</f>
        <v>-</v>
      </c>
      <c r="E60" s="41" t="str">
        <f>IF(E51=0,"-",E50/$I$33*1000000/60/(1-$D$33))</f>
        <v>-</v>
      </c>
      <c r="F60" s="42" t="str">
        <f t="shared" si="1"/>
        <v>-</v>
      </c>
      <c r="G60" s="40" t="str">
        <f t="shared" si="1"/>
        <v>-</v>
      </c>
      <c r="H60" s="41" t="str">
        <f>IF(H51=0,"-",H50/$I$33*1000000/60/(1-$D$33))</f>
        <v>-</v>
      </c>
      <c r="I60" s="41" t="str">
        <f t="shared" si="1"/>
        <v>-</v>
      </c>
      <c r="J60" s="42" t="str">
        <f t="shared" si="1"/>
        <v>-</v>
      </c>
    </row>
    <row r="61" spans="2:10" ht="15" customHeight="1">
      <c r="B61" s="203" t="s">
        <v>67</v>
      </c>
      <c r="C61" s="43" t="str">
        <f>IF(C51=0,"-",C60*4.76*28.96/$D$34*((1-C54)*(($D$30*$D$34/12.01)-($D$32*$D$34/32)+0.25*($D$31*$D$34/1.008))+C54*(($D$30*$D$34/12.01)+2*($I$30*$D$34/64)))/(1-2.76*C54))</f>
        <v>-</v>
      </c>
      <c r="D61" s="44" t="str">
        <f t="shared" ref="D61:I61" si="2">IF(D51=0,"-",D60*4.76*28.96/$D$34*((1-D54)*(($D$30*$D$34/12.01)-($D$32*$D$34/32)+0.25*($D$31*$D$34/1.008))+D54*(($D$30*$D$34/12.01)+2*($I$30*$D$34/64)))/(1-2.76*D54))</f>
        <v>-</v>
      </c>
      <c r="E61" s="44" t="str">
        <f t="shared" si="2"/>
        <v>-</v>
      </c>
      <c r="F61" s="45" t="str">
        <f t="shared" si="2"/>
        <v>-</v>
      </c>
      <c r="G61" s="43" t="str">
        <f>IF(G51=0,"-",G60*4.76*28.96/$D$34*((1-G54)*(($D$30*$D$34/12.01)-($D$32*$D$34/32)+0.25*($D$31*$D$34/1.008))+G54*(($D$30*$D$34/12.01)+2*($I$30*$D$34/64)))/(1-2.76*G54))</f>
        <v>-</v>
      </c>
      <c r="H61" s="44" t="str">
        <f t="shared" si="2"/>
        <v>-</v>
      </c>
      <c r="I61" s="44" t="str">
        <f t="shared" si="2"/>
        <v>-</v>
      </c>
      <c r="J61" s="45" t="str">
        <f>IF(J51=0,"-",J60*4.76*28.96/$D$34*((1-J54)*(($D$30*$D$34/12.01)-($D$32*$D$34/32)+0.25*($D$31*$D$34/1.008))+J54*(($D$30*$D$34/12.01)+2*($I$30*$D$34/64)))/(1-2.76*J54))</f>
        <v>-</v>
      </c>
    </row>
    <row r="62" spans="2:10" ht="15" customHeight="1">
      <c r="B62" s="198" t="s">
        <v>66</v>
      </c>
      <c r="C62" s="136"/>
      <c r="D62" s="136"/>
      <c r="E62" s="136"/>
      <c r="F62" s="136"/>
      <c r="G62" s="136"/>
      <c r="H62" s="136"/>
      <c r="I62" s="136"/>
      <c r="J62" s="137"/>
    </row>
    <row r="63" spans="2:10" ht="15" customHeight="1">
      <c r="B63" s="201" t="s">
        <v>65</v>
      </c>
      <c r="C63" s="129" t="str">
        <f>IF(C51=0,"-",(44.01*C55+32*C54+28.02*(1-C55-C54-C56*0.000001)+28.01*0.000001*C56)/(12.01*(C56*0.000001+C55))*($D$30+$I$30*12.01/32.07)*0.24*C58/$I$33)</f>
        <v>-</v>
      </c>
      <c r="D63" s="130" t="str">
        <f t="shared" ref="D63:J63" si="3">IF(D51=0,"-",(44.01*D55+32*D54+28.02*(1-D55-D54-D56*0.000001)+28.01*0.000001*D56)/(12.01*(D56*0.000001+D55))*($D$30+$I$30*12.01/32.07)*0.24*D58/$I$33)</f>
        <v>-</v>
      </c>
      <c r="E63" s="130" t="str">
        <f t="shared" si="3"/>
        <v>-</v>
      </c>
      <c r="F63" s="131" t="str">
        <f t="shared" si="3"/>
        <v>-</v>
      </c>
      <c r="G63" s="129" t="str">
        <f t="shared" si="3"/>
        <v>-</v>
      </c>
      <c r="H63" s="130" t="str">
        <f t="shared" si="3"/>
        <v>-</v>
      </c>
      <c r="I63" s="130" t="str">
        <f>IF(I51=0,"-",(44.01*I55+32*I54+28.02*(1-I55-I54-I56*0.000001)+28.01*0.000001*I56)/(12.01*(I56*0.000001+I55))*($D$30+$I$30*12.01/32.07)*0.24*I58/$I$33)</f>
        <v>-</v>
      </c>
      <c r="J63" s="131" t="str">
        <f t="shared" si="3"/>
        <v>-</v>
      </c>
    </row>
    <row r="64" spans="2:10" ht="15" customHeight="1">
      <c r="B64" s="202" t="s">
        <v>64</v>
      </c>
      <c r="C64" s="46" t="str">
        <f>IF(C51=0,"-",8.936*(0.445*C57+1060.7-($D$10-32))*$D$31/$I$33)</f>
        <v>-</v>
      </c>
      <c r="D64" s="47" t="str">
        <f t="shared" ref="D64:J64" si="4">IF(D51=0,"-",8.936*(0.445*D57+1060.7-($D$10-32))*$D$31/$I$33)</f>
        <v>-</v>
      </c>
      <c r="E64" s="47" t="str">
        <f t="shared" si="4"/>
        <v>-</v>
      </c>
      <c r="F64" s="48" t="str">
        <f t="shared" si="4"/>
        <v>-</v>
      </c>
      <c r="G64" s="46" t="str">
        <f t="shared" si="4"/>
        <v>-</v>
      </c>
      <c r="H64" s="47" t="str">
        <f t="shared" si="4"/>
        <v>-</v>
      </c>
      <c r="I64" s="47" t="str">
        <f>IF(I51=0,"-",8.936*(0.445*I57+1060.7-($D$10-32))*$D$31/$I$33)</f>
        <v>-</v>
      </c>
      <c r="J64" s="48" t="str">
        <f t="shared" si="4"/>
        <v>-</v>
      </c>
    </row>
    <row r="65" spans="2:10" ht="15" customHeight="1">
      <c r="B65" s="201" t="s">
        <v>63</v>
      </c>
      <c r="C65" s="129" t="str">
        <f>IF(C51=0,"-",IF($D$33=0,0,($D$33*(0.445*C57+1060.7-($D$10-32)))/$I$33))</f>
        <v>-</v>
      </c>
      <c r="D65" s="130" t="str">
        <f t="shared" ref="D65:J65" si="5">IF(D51=0,"-",IF($D$33=0,0,($D$33*(0.445*D57+1060.7-($D$10-32)))/$I$33))</f>
        <v>-</v>
      </c>
      <c r="E65" s="130" t="str">
        <f t="shared" si="5"/>
        <v>-</v>
      </c>
      <c r="F65" s="131" t="str">
        <f t="shared" si="5"/>
        <v>-</v>
      </c>
      <c r="G65" s="129" t="str">
        <f t="shared" si="5"/>
        <v>-</v>
      </c>
      <c r="H65" s="130" t="str">
        <f t="shared" si="5"/>
        <v>-</v>
      </c>
      <c r="I65" s="130" t="str">
        <f>IF(I51=0,"-",IF($D$33=0,0,($D$33*(0.445*I57+1060.7-($D$10-32)))/$I$33))</f>
        <v>-</v>
      </c>
      <c r="J65" s="131" t="str">
        <f t="shared" si="5"/>
        <v>-</v>
      </c>
    </row>
    <row r="66" spans="2:10" ht="15" customHeight="1">
      <c r="B66" s="202" t="s">
        <v>62</v>
      </c>
      <c r="C66" s="46" t="str">
        <f>IF(C51=0,"-",C56*0.000001/(C56*0.000001+C55)*10160*$D$30/$I$33)</f>
        <v>-</v>
      </c>
      <c r="D66" s="47" t="str">
        <f t="shared" ref="D66:J66" si="6">IF(D51=0,"-",D56*0.000001/(D56*0.000001+D55)*10160*$D$30/$I$33)</f>
        <v>-</v>
      </c>
      <c r="E66" s="47" t="str">
        <f t="shared" si="6"/>
        <v>-</v>
      </c>
      <c r="F66" s="48" t="str">
        <f t="shared" si="6"/>
        <v>-</v>
      </c>
      <c r="G66" s="46" t="str">
        <f t="shared" si="6"/>
        <v>-</v>
      </c>
      <c r="H66" s="47" t="str">
        <f t="shared" si="6"/>
        <v>-</v>
      </c>
      <c r="I66" s="47" t="str">
        <f t="shared" si="6"/>
        <v>-</v>
      </c>
      <c r="J66" s="48" t="str">
        <f t="shared" si="6"/>
        <v>-</v>
      </c>
    </row>
    <row r="67" spans="2:10" ht="15" customHeight="1">
      <c r="B67" s="201" t="s">
        <v>61</v>
      </c>
      <c r="C67" s="129" t="str">
        <f>IF(C51=0,"-",$I$32)</f>
        <v>-</v>
      </c>
      <c r="D67" s="130" t="str">
        <f t="shared" ref="D67:J67" si="7">IF(D51=0,"-",$I$32)</f>
        <v>-</v>
      </c>
      <c r="E67" s="130" t="str">
        <f t="shared" si="7"/>
        <v>-</v>
      </c>
      <c r="F67" s="131" t="str">
        <f t="shared" si="7"/>
        <v>-</v>
      </c>
      <c r="G67" s="129" t="str">
        <f t="shared" si="7"/>
        <v>-</v>
      </c>
      <c r="H67" s="130" t="str">
        <f t="shared" si="7"/>
        <v>-</v>
      </c>
      <c r="I67" s="130" t="str">
        <f t="shared" si="7"/>
        <v>-</v>
      </c>
      <c r="J67" s="131" t="str">
        <f t="shared" si="7"/>
        <v>-</v>
      </c>
    </row>
    <row r="68" spans="2:10" ht="15" customHeight="1">
      <c r="B68" s="202" t="s">
        <v>60</v>
      </c>
      <c r="C68" s="46" t="str">
        <f>IF(C51=0,"-",(0.445*C57+1060.7-($D$10-32))*$D$12*(C61/C60)/$I$33)</f>
        <v>-</v>
      </c>
      <c r="D68" s="47" t="str">
        <f t="shared" ref="D68:J68" si="8">IF(D51=0,"-",(0.445*D57+1060.7-($D$10-32))*$D$12*(D61/D60)/$I$33)</f>
        <v>-</v>
      </c>
      <c r="E68" s="47" t="str">
        <f t="shared" si="8"/>
        <v>-</v>
      </c>
      <c r="F68" s="48" t="str">
        <f t="shared" si="8"/>
        <v>-</v>
      </c>
      <c r="G68" s="46" t="str">
        <f t="shared" si="8"/>
        <v>-</v>
      </c>
      <c r="H68" s="47" t="str">
        <f t="shared" si="8"/>
        <v>-</v>
      </c>
      <c r="I68" s="47" t="str">
        <f t="shared" si="8"/>
        <v>-</v>
      </c>
      <c r="J68" s="48" t="str">
        <f t="shared" si="8"/>
        <v>-</v>
      </c>
    </row>
    <row r="69" spans="2:10" ht="15" customHeight="1">
      <c r="B69" s="201" t="s">
        <v>59</v>
      </c>
      <c r="C69" s="129" t="str">
        <f t="shared" ref="C69:I69" si="9">IF(C51=0,"-",1-C63-C64-C65-C66-C67-C68)</f>
        <v>-</v>
      </c>
      <c r="D69" s="130" t="str">
        <f t="shared" si="9"/>
        <v>-</v>
      </c>
      <c r="E69" s="130" t="str">
        <f t="shared" si="9"/>
        <v>-</v>
      </c>
      <c r="F69" s="131" t="str">
        <f t="shared" si="9"/>
        <v>-</v>
      </c>
      <c r="G69" s="129" t="str">
        <f>IF(G51=0,"-",1-G63-G64-G65-G66-G67-G68)</f>
        <v>-</v>
      </c>
      <c r="H69" s="130" t="str">
        <f t="shared" si="9"/>
        <v>-</v>
      </c>
      <c r="I69" s="130" t="str">
        <f t="shared" si="9"/>
        <v>-</v>
      </c>
      <c r="J69" s="131" t="str">
        <f>IF(J51=0,"-",1-J63-J64-J65-J66-J67-J68)</f>
        <v>-</v>
      </c>
    </row>
    <row r="70" spans="2:10" ht="15" customHeight="1">
      <c r="B70" s="202" t="s">
        <v>98</v>
      </c>
      <c r="C70" s="46" t="str">
        <f t="shared" ref="C70:J70" si="10">IF(C51=0,"-",(0.359+18.2842/$I$6-7.1088/$I$6^2)/100/C49)</f>
        <v>-</v>
      </c>
      <c r="D70" s="47" t="str">
        <f t="shared" si="10"/>
        <v>-</v>
      </c>
      <c r="E70" s="47" t="str">
        <f t="shared" si="10"/>
        <v>-</v>
      </c>
      <c r="F70" s="48" t="str">
        <f t="shared" si="10"/>
        <v>-</v>
      </c>
      <c r="G70" s="46" t="str">
        <f t="shared" si="10"/>
        <v>-</v>
      </c>
      <c r="H70" s="47" t="str">
        <f t="shared" si="10"/>
        <v>-</v>
      </c>
      <c r="I70" s="47" t="str">
        <f t="shared" si="10"/>
        <v>-</v>
      </c>
      <c r="J70" s="48" t="str">
        <f t="shared" si="10"/>
        <v>-</v>
      </c>
    </row>
    <row r="71" spans="2:10" ht="15" customHeight="1">
      <c r="B71" s="201" t="s">
        <v>58</v>
      </c>
      <c r="C71" s="129" t="s">
        <v>71</v>
      </c>
      <c r="D71" s="130" t="s">
        <v>71</v>
      </c>
      <c r="E71" s="130" t="s">
        <v>71</v>
      </c>
      <c r="F71" s="131" t="str">
        <f>IF(F51=0,"-",D61*0.252*D11*(I19-D10)*2*D7/D6*(F49&lt;I7)/(1000000*F50))</f>
        <v>-</v>
      </c>
      <c r="G71" s="129" t="s">
        <v>71</v>
      </c>
      <c r="H71" s="130" t="s">
        <v>71</v>
      </c>
      <c r="I71" s="130" t="s">
        <v>71</v>
      </c>
      <c r="J71" s="131" t="str">
        <f>IF(J51=0,"-",H61*0.252*D11*(I19-D10)*2*D7/D6*(J49&lt;I7)/(1000000*J50))</f>
        <v>-</v>
      </c>
    </row>
    <row r="72" spans="2:10" ht="15" customHeight="1">
      <c r="B72" s="205" t="s">
        <v>57</v>
      </c>
      <c r="C72" s="49" t="str">
        <f>IF(C51=0,"-",IF(C69-C70&lt;0,0,C69-C70))</f>
        <v>-</v>
      </c>
      <c r="D72" s="50" t="str">
        <f>IF(D51=0,"-",IF(D69-D70&lt;0,0,D69-D70))</f>
        <v>-</v>
      </c>
      <c r="E72" s="50" t="str">
        <f>IF(E51=0,"-",IF(E69-E70&lt;0,0,E69-E70))</f>
        <v>-</v>
      </c>
      <c r="F72" s="51" t="str">
        <f>IF(F51=0,"-",IF(F69-F70-F71&lt;0,0,F69-F70-F71))</f>
        <v>-</v>
      </c>
      <c r="G72" s="49" t="str">
        <f>IF(G51=0,"-",IF(G69-G70&lt;0,0,G69-G70))</f>
        <v>-</v>
      </c>
      <c r="H72" s="50" t="str">
        <f>IF(H51=0,"-",IF(H69-H70&lt;0,0,H69-H70))</f>
        <v>-</v>
      </c>
      <c r="I72" s="50" t="str">
        <f>IF(I51=0,"-",IF(I69-I70&lt;0,0,I69-I70))</f>
        <v>-</v>
      </c>
      <c r="J72" s="51" t="str">
        <f>IF(J51=0,"-",IF(J69-J70-J71&lt;0,0,J69-J70-J71))</f>
        <v>-</v>
      </c>
    </row>
    <row r="75" spans="2:10">
      <c r="B75" s="278" t="s">
        <v>142</v>
      </c>
    </row>
    <row r="77" spans="2:10">
      <c r="B77" s="447" t="s">
        <v>227</v>
      </c>
      <c r="C77" s="447"/>
      <c r="D77" s="447"/>
      <c r="E77" s="447"/>
      <c r="F77" s="447"/>
      <c r="G77" s="447"/>
      <c r="H77" s="447"/>
      <c r="I77" s="447"/>
      <c r="J77" s="447"/>
    </row>
    <row r="78" spans="2:10">
      <c r="B78" s="447"/>
      <c r="C78" s="447"/>
      <c r="D78" s="447"/>
      <c r="E78" s="447"/>
      <c r="F78" s="447"/>
      <c r="G78" s="447"/>
      <c r="H78" s="447"/>
      <c r="I78" s="447"/>
      <c r="J78" s="447"/>
    </row>
    <row r="79" spans="2:10">
      <c r="B79" s="447"/>
      <c r="C79" s="447"/>
      <c r="D79" s="447"/>
      <c r="E79" s="447"/>
      <c r="F79" s="447"/>
      <c r="G79" s="447"/>
      <c r="H79" s="447"/>
      <c r="I79" s="447"/>
      <c r="J79" s="447"/>
    </row>
  </sheetData>
  <sheetProtection password="E0B2" sheet="1" objects="1" scenarios="1" selectLockedCells="1"/>
  <mergeCells count="63">
    <mergeCell ref="B77:J79"/>
    <mergeCell ref="B35:C35"/>
    <mergeCell ref="B37:J37"/>
    <mergeCell ref="B38:C38"/>
    <mergeCell ref="F38:H38"/>
    <mergeCell ref="B39:C39"/>
    <mergeCell ref="F39:H39"/>
    <mergeCell ref="A43:K43"/>
    <mergeCell ref="B45:J45"/>
    <mergeCell ref="B46:B47"/>
    <mergeCell ref="C46:F46"/>
    <mergeCell ref="G46:J46"/>
    <mergeCell ref="B32:C32"/>
    <mergeCell ref="F32:H32"/>
    <mergeCell ref="B33:C33"/>
    <mergeCell ref="F33:H33"/>
    <mergeCell ref="B34:C34"/>
    <mergeCell ref="F34:H34"/>
    <mergeCell ref="B31:C31"/>
    <mergeCell ref="F31:H31"/>
    <mergeCell ref="F24:H24"/>
    <mergeCell ref="B25:C25"/>
    <mergeCell ref="F25:H25"/>
    <mergeCell ref="B26:C26"/>
    <mergeCell ref="F26:H26"/>
    <mergeCell ref="B28:J28"/>
    <mergeCell ref="B29:C29"/>
    <mergeCell ref="D29:E29"/>
    <mergeCell ref="F29:H29"/>
    <mergeCell ref="B30:C30"/>
    <mergeCell ref="F30:H30"/>
    <mergeCell ref="B23:J23"/>
    <mergeCell ref="B14:J14"/>
    <mergeCell ref="B15:C15"/>
    <mergeCell ref="F15:H15"/>
    <mergeCell ref="B16:C16"/>
    <mergeCell ref="F16:H16"/>
    <mergeCell ref="B18:J18"/>
    <mergeCell ref="F19:H19"/>
    <mergeCell ref="B20:C20"/>
    <mergeCell ref="F20:H20"/>
    <mergeCell ref="B21:C21"/>
    <mergeCell ref="F21:H21"/>
    <mergeCell ref="B12:C12"/>
    <mergeCell ref="F12:H12"/>
    <mergeCell ref="B5:C5"/>
    <mergeCell ref="D5:E5"/>
    <mergeCell ref="F5:H5"/>
    <mergeCell ref="B6:C6"/>
    <mergeCell ref="F6:H6"/>
    <mergeCell ref="B7:C7"/>
    <mergeCell ref="F7:H7"/>
    <mergeCell ref="B9:J9"/>
    <mergeCell ref="B10:C10"/>
    <mergeCell ref="F10:H10"/>
    <mergeCell ref="B11:C11"/>
    <mergeCell ref="F11:H11"/>
    <mergeCell ref="A1:K1"/>
    <mergeCell ref="B3:J3"/>
    <mergeCell ref="B4:C4"/>
    <mergeCell ref="D4:E4"/>
    <mergeCell ref="F4:H4"/>
    <mergeCell ref="I4:J4"/>
  </mergeCells>
  <dataValidations count="9">
    <dataValidation allowBlank="1" showInputMessage="1" showErrorMessage="1" prompt="Default Value is 0.2 ft3/Boiler Hp" sqref="I15"/>
    <dataValidation allowBlank="1" showInputMessage="1" showErrorMessage="1" prompt="Default Value is 10 psi" sqref="D15"/>
    <dataValidation allowBlank="1" showInputMessage="1" showErrorMessage="1" prompt="Default Value is 75%" sqref="D11"/>
    <dataValidation allowBlank="1" showInputMessage="1" showErrorMessage="1" prompt="Default Value is 50F" sqref="I10"/>
    <dataValidation allowBlank="1" showInputMessage="1" showErrorMessage="1" prompt="Default Value is 80F" sqref="D10"/>
    <dataValidation allowBlank="1" showInputMessage="1" showErrorMessage="1" prompt="Default Value is 20%" sqref="I7"/>
    <dataValidation allowBlank="1" showInputMessage="1" showErrorMessage="1" prompt="Default value is 30 seconds" sqref="D7"/>
    <dataValidation type="list" allowBlank="1" showInputMessage="1" showErrorMessage="1" sqref="D5">
      <formula1>"Full Modulating,Low-High-Off,On-Off"</formula1>
    </dataValidation>
    <dataValidation type="list" allowBlank="1" showInputMessage="1" showErrorMessage="1" sqref="D29">
      <formula1>'Fuel Properties'!A7:A13</formula1>
    </dataValidation>
  </dataValidations>
  <printOptions horizontalCentered="1"/>
  <pageMargins left="0.2" right="0.2" top="0.75" bottom="0.75" header="0.3" footer="0.3"/>
  <pageSetup orientation="portrait" r:id="rId1"/>
  <rowBreaks count="1" manualBreakCount="1">
    <brk id="42" max="10" man="1"/>
  </rowBreaks>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dimension ref="A1:L48"/>
  <sheetViews>
    <sheetView showGridLines="0" zoomScaleNormal="100" zoomScaleSheetLayoutView="100" workbookViewId="0">
      <selection activeCell="B15" sqref="B15:D15"/>
    </sheetView>
  </sheetViews>
  <sheetFormatPr defaultRowHeight="15" customHeight="1"/>
  <cols>
    <col min="1" max="1" width="21.42578125" style="207" customWidth="1"/>
    <col min="2" max="9" width="10.7109375" style="207" customWidth="1"/>
    <col min="10" max="10" width="14.28515625" style="207" customWidth="1"/>
    <col min="11" max="12" width="10.7109375" style="207" customWidth="1"/>
    <col min="13" max="16384" width="9.140625" style="207"/>
  </cols>
  <sheetData>
    <row r="1" spans="1:12" ht="15" customHeight="1">
      <c r="A1" s="206" t="s">
        <v>56</v>
      </c>
      <c r="B1" s="469" t="s">
        <v>43</v>
      </c>
      <c r="C1" s="470"/>
      <c r="D1" s="471"/>
    </row>
    <row r="3" spans="1:12" ht="15" customHeight="1">
      <c r="A3" s="463" t="s">
        <v>55</v>
      </c>
      <c r="B3" s="464"/>
      <c r="C3" s="464"/>
      <c r="D3" s="464"/>
      <c r="E3" s="464"/>
      <c r="F3" s="464"/>
      <c r="G3" s="464"/>
      <c r="H3" s="464"/>
      <c r="I3" s="464"/>
      <c r="J3" s="464"/>
      <c r="K3" s="464"/>
      <c r="L3" s="465"/>
    </row>
    <row r="4" spans="1:12" ht="15" customHeight="1">
      <c r="A4" s="474"/>
      <c r="B4" s="468" t="s">
        <v>39</v>
      </c>
      <c r="C4" s="468" t="s">
        <v>38</v>
      </c>
      <c r="D4" s="468" t="s">
        <v>37</v>
      </c>
      <c r="E4" s="468" t="s">
        <v>36</v>
      </c>
      <c r="F4" s="468" t="s">
        <v>35</v>
      </c>
      <c r="G4" s="468" t="s">
        <v>34</v>
      </c>
      <c r="H4" s="468" t="s">
        <v>33</v>
      </c>
      <c r="I4" s="468" t="s">
        <v>32</v>
      </c>
      <c r="J4" s="208" t="s">
        <v>54</v>
      </c>
      <c r="K4" s="472" t="s">
        <v>53</v>
      </c>
      <c r="L4" s="473"/>
    </row>
    <row r="5" spans="1:12" ht="15" customHeight="1">
      <c r="A5" s="467"/>
      <c r="B5" s="462"/>
      <c r="C5" s="462"/>
      <c r="D5" s="462"/>
      <c r="E5" s="462"/>
      <c r="F5" s="462"/>
      <c r="G5" s="462"/>
      <c r="H5" s="462"/>
      <c r="I5" s="462"/>
      <c r="J5" s="209" t="s">
        <v>52</v>
      </c>
      <c r="K5" s="210" t="s">
        <v>51</v>
      </c>
      <c r="L5" s="211" t="s">
        <v>50</v>
      </c>
    </row>
    <row r="6" spans="1:12" ht="15" customHeight="1">
      <c r="A6" s="212" t="s">
        <v>30</v>
      </c>
      <c r="B6" s="213" t="s">
        <v>28</v>
      </c>
      <c r="C6" s="213" t="s">
        <v>28</v>
      </c>
      <c r="D6" s="213" t="s">
        <v>28</v>
      </c>
      <c r="E6" s="213" t="s">
        <v>28</v>
      </c>
      <c r="F6" s="213" t="s">
        <v>28</v>
      </c>
      <c r="G6" s="213" t="s">
        <v>28</v>
      </c>
      <c r="H6" s="213" t="s">
        <v>28</v>
      </c>
      <c r="I6" s="213" t="s">
        <v>29</v>
      </c>
      <c r="J6" s="213"/>
      <c r="K6" s="213" t="s">
        <v>28</v>
      </c>
      <c r="L6" s="214" t="s">
        <v>28</v>
      </c>
    </row>
    <row r="7" spans="1:12" ht="15" customHeight="1">
      <c r="A7" s="4" t="s">
        <v>49</v>
      </c>
      <c r="B7" s="5">
        <v>0.94654000000000005</v>
      </c>
      <c r="C7" s="5">
        <v>3.4000000000000002E-4</v>
      </c>
      <c r="D7" s="5">
        <v>5.2699999999999997E-2</v>
      </c>
      <c r="E7" s="5">
        <v>2.9999999999999997E-4</v>
      </c>
      <c r="F7" s="5">
        <v>6.4000000000000005E-4</v>
      </c>
      <c r="G7" s="5">
        <v>0</v>
      </c>
      <c r="H7" s="5">
        <v>0</v>
      </c>
      <c r="I7" s="6">
        <v>14203</v>
      </c>
      <c r="J7" s="7">
        <v>483.44</v>
      </c>
      <c r="K7" s="8">
        <v>4.4999999999999998E-2</v>
      </c>
      <c r="L7" s="9">
        <v>5.5E-2</v>
      </c>
    </row>
    <row r="8" spans="1:12" ht="15" customHeight="1">
      <c r="A8" s="10" t="s">
        <v>48</v>
      </c>
      <c r="B8" s="11">
        <v>0.71006999999999998</v>
      </c>
      <c r="C8" s="11">
        <v>0</v>
      </c>
      <c r="D8" s="11">
        <v>0.23663000000000001</v>
      </c>
      <c r="E8" s="11">
        <v>3.8240000000000003E-2</v>
      </c>
      <c r="F8" s="11">
        <v>1.15E-2</v>
      </c>
      <c r="G8" s="11">
        <v>0</v>
      </c>
      <c r="H8" s="11">
        <v>0</v>
      </c>
      <c r="I8" s="12">
        <v>21869</v>
      </c>
      <c r="J8" s="13">
        <v>16.7</v>
      </c>
      <c r="K8" s="14">
        <v>0.04</v>
      </c>
      <c r="L8" s="15">
        <v>0.05</v>
      </c>
    </row>
    <row r="9" spans="1:12" ht="15" customHeight="1">
      <c r="A9" s="16" t="s">
        <v>47</v>
      </c>
      <c r="B9" s="1">
        <v>0.86026999999999998</v>
      </c>
      <c r="C9" s="1">
        <v>0.02</v>
      </c>
      <c r="D9" s="1">
        <v>0.12418</v>
      </c>
      <c r="E9" s="1">
        <v>1E-3</v>
      </c>
      <c r="F9" s="1">
        <v>0</v>
      </c>
      <c r="G9" s="1">
        <v>1E-3</v>
      </c>
      <c r="H9" s="1">
        <v>5.0000000000000001E-3</v>
      </c>
      <c r="I9" s="3">
        <v>18800</v>
      </c>
      <c r="J9" s="17">
        <v>208</v>
      </c>
      <c r="K9" s="2">
        <v>0.04</v>
      </c>
      <c r="L9" s="18">
        <v>0.05</v>
      </c>
    </row>
    <row r="10" spans="1:12" ht="15" customHeight="1">
      <c r="A10" s="10" t="s">
        <v>46</v>
      </c>
      <c r="B10" s="11">
        <v>0.874</v>
      </c>
      <c r="C10" s="11">
        <v>1.3990000000000001E-2</v>
      </c>
      <c r="D10" s="11">
        <v>9.9849999999999994E-2</v>
      </c>
      <c r="E10" s="11">
        <v>9.1800000000000007E-3</v>
      </c>
      <c r="F10" s="11">
        <v>2.8E-3</v>
      </c>
      <c r="G10" s="11">
        <v>0</v>
      </c>
      <c r="H10" s="11">
        <v>0</v>
      </c>
      <c r="I10" s="12">
        <v>18300</v>
      </c>
      <c r="J10" s="13">
        <v>338</v>
      </c>
      <c r="K10" s="14">
        <v>0.04</v>
      </c>
      <c r="L10" s="15">
        <v>0.05</v>
      </c>
    </row>
    <row r="11" spans="1:12" ht="15" customHeight="1">
      <c r="A11" s="16" t="s">
        <v>45</v>
      </c>
      <c r="B11" s="1">
        <v>0.81799999999999995</v>
      </c>
      <c r="C11" s="1">
        <v>0</v>
      </c>
      <c r="D11" s="1">
        <v>0.182</v>
      </c>
      <c r="E11" s="1">
        <v>0</v>
      </c>
      <c r="F11" s="1">
        <v>0</v>
      </c>
      <c r="G11" s="1">
        <v>0</v>
      </c>
      <c r="H11" s="1">
        <v>0</v>
      </c>
      <c r="I11" s="3">
        <v>21670</v>
      </c>
      <c r="J11" s="17">
        <v>44</v>
      </c>
      <c r="K11" s="2">
        <v>0.04</v>
      </c>
      <c r="L11" s="18">
        <v>0.05</v>
      </c>
    </row>
    <row r="12" spans="1:12" ht="15" customHeight="1">
      <c r="A12" s="10" t="s">
        <v>44</v>
      </c>
      <c r="B12" s="11">
        <v>0.86026999999999998</v>
      </c>
      <c r="C12" s="11">
        <v>0.02</v>
      </c>
      <c r="D12" s="11">
        <v>0.12418</v>
      </c>
      <c r="E12" s="11">
        <v>1E-3</v>
      </c>
      <c r="F12" s="11">
        <v>0</v>
      </c>
      <c r="G12" s="11">
        <v>1E-3</v>
      </c>
      <c r="H12" s="11">
        <v>5.0000000000000001E-3</v>
      </c>
      <c r="I12" s="12">
        <v>18800</v>
      </c>
      <c r="J12" s="13">
        <v>208</v>
      </c>
      <c r="K12" s="14">
        <v>0.04</v>
      </c>
      <c r="L12" s="15">
        <v>0.05</v>
      </c>
    </row>
    <row r="13" spans="1:12" ht="15" customHeight="1">
      <c r="A13" s="19" t="s">
        <v>43</v>
      </c>
      <c r="B13" s="20">
        <f>VLOOKUP($B$15,$A$21:$I$47,2)</f>
        <v>0.52300000000000002</v>
      </c>
      <c r="C13" s="20">
        <f>VLOOKUP($B$15,$A$21:$I$47,3)</f>
        <v>0</v>
      </c>
      <c r="D13" s="20">
        <f>VLOOKUP($B$15,$A$21:$I$47,4)</f>
        <v>6.3E-2</v>
      </c>
      <c r="E13" s="20">
        <f>VLOOKUP($B$15,$A$21:$I$47,5)</f>
        <v>1E-3</v>
      </c>
      <c r="F13" s="20">
        <f>VLOOKUP($B$15,$A$21:$I$47,6)</f>
        <v>0.40500000000000003</v>
      </c>
      <c r="G13" s="20">
        <f>VLOOKUP($B$15,$A$21:$I$47,7)</f>
        <v>8.0000000000000002E-3</v>
      </c>
      <c r="H13" s="20">
        <f>VLOOKUP($B$15,$A$21:$I$47,8)</f>
        <v>0.33</v>
      </c>
      <c r="I13" s="21">
        <f>VLOOKUP($B$15,$A$21:$I$47,9)</f>
        <v>8600</v>
      </c>
      <c r="J13" s="22">
        <v>26</v>
      </c>
      <c r="K13" s="23">
        <v>0.08</v>
      </c>
      <c r="L13" s="24">
        <v>8.5000000000000006E-2</v>
      </c>
    </row>
    <row r="15" spans="1:12" ht="15" customHeight="1">
      <c r="A15" s="215" t="s">
        <v>42</v>
      </c>
      <c r="B15" s="457" t="s">
        <v>27</v>
      </c>
      <c r="C15" s="458"/>
      <c r="D15" s="459"/>
      <c r="F15" s="456" t="s">
        <v>41</v>
      </c>
      <c r="G15" s="456"/>
      <c r="H15" s="456"/>
      <c r="I15" s="456"/>
      <c r="J15" s="386">
        <v>0.5</v>
      </c>
    </row>
    <row r="16" spans="1:12" ht="15" customHeight="1">
      <c r="K16" s="216"/>
      <c r="L16" s="217"/>
    </row>
    <row r="17" spans="1:12" ht="15" customHeight="1">
      <c r="A17" s="463" t="s">
        <v>40</v>
      </c>
      <c r="B17" s="464"/>
      <c r="C17" s="464"/>
      <c r="D17" s="464"/>
      <c r="E17" s="464"/>
      <c r="F17" s="464"/>
      <c r="G17" s="464"/>
      <c r="H17" s="464"/>
      <c r="I17" s="464"/>
      <c r="J17" s="465"/>
      <c r="K17" s="217"/>
      <c r="L17" s="218"/>
    </row>
    <row r="18" spans="1:12" ht="15" customHeight="1">
      <c r="A18" s="466"/>
      <c r="B18" s="461" t="s">
        <v>39</v>
      </c>
      <c r="C18" s="461" t="s">
        <v>38</v>
      </c>
      <c r="D18" s="461" t="s">
        <v>37</v>
      </c>
      <c r="E18" s="461" t="s">
        <v>36</v>
      </c>
      <c r="F18" s="461" t="s">
        <v>35</v>
      </c>
      <c r="G18" s="461" t="s">
        <v>34</v>
      </c>
      <c r="H18" s="461" t="s">
        <v>33</v>
      </c>
      <c r="I18" s="461" t="s">
        <v>32</v>
      </c>
      <c r="J18" s="208" t="s">
        <v>31</v>
      </c>
      <c r="K18" s="217"/>
      <c r="L18" s="219"/>
    </row>
    <row r="19" spans="1:12" ht="15" customHeight="1">
      <c r="A19" s="467"/>
      <c r="B19" s="462"/>
      <c r="C19" s="462"/>
      <c r="D19" s="462"/>
      <c r="E19" s="462"/>
      <c r="F19" s="462"/>
      <c r="G19" s="462"/>
      <c r="H19" s="462"/>
      <c r="I19" s="462"/>
      <c r="J19" s="209" t="s">
        <v>97</v>
      </c>
      <c r="K19" s="217"/>
      <c r="L19" s="220"/>
    </row>
    <row r="20" spans="1:12" ht="15" customHeight="1">
      <c r="A20" s="212" t="s">
        <v>30</v>
      </c>
      <c r="B20" s="213" t="s">
        <v>28</v>
      </c>
      <c r="C20" s="213" t="s">
        <v>28</v>
      </c>
      <c r="D20" s="213" t="s">
        <v>28</v>
      </c>
      <c r="E20" s="213" t="s">
        <v>28</v>
      </c>
      <c r="F20" s="213" t="s">
        <v>28</v>
      </c>
      <c r="G20" s="213" t="s">
        <v>28</v>
      </c>
      <c r="H20" s="213" t="s">
        <v>28</v>
      </c>
      <c r="I20" s="213" t="s">
        <v>29</v>
      </c>
      <c r="J20" s="213" t="s">
        <v>28</v>
      </c>
      <c r="K20" s="221"/>
    </row>
    <row r="21" spans="1:12" ht="15" customHeight="1">
      <c r="A21" s="25" t="s">
        <v>27</v>
      </c>
      <c r="B21" s="26">
        <v>0.52300000000000002</v>
      </c>
      <c r="C21" s="26">
        <v>0</v>
      </c>
      <c r="D21" s="26">
        <v>6.3E-2</v>
      </c>
      <c r="E21" s="26">
        <v>1E-3</v>
      </c>
      <c r="F21" s="26">
        <v>0.40500000000000003</v>
      </c>
      <c r="G21" s="26">
        <v>8.0000000000000002E-3</v>
      </c>
      <c r="H21" s="26">
        <v>0.33</v>
      </c>
      <c r="I21" s="27">
        <v>8600</v>
      </c>
      <c r="J21" s="26"/>
      <c r="K21" s="221"/>
    </row>
    <row r="22" spans="1:12" ht="15" customHeight="1">
      <c r="A22" s="28" t="s">
        <v>26</v>
      </c>
      <c r="B22" s="29">
        <v>0.56200000000000006</v>
      </c>
      <c r="C22" s="29">
        <v>0</v>
      </c>
      <c r="D22" s="29">
        <v>6.2E-2</v>
      </c>
      <c r="E22" s="29">
        <v>1E-3</v>
      </c>
      <c r="F22" s="29">
        <v>0.373</v>
      </c>
      <c r="G22" s="29">
        <v>2E-3</v>
      </c>
      <c r="H22" s="29">
        <v>0.33</v>
      </c>
      <c r="I22" s="30">
        <v>10000</v>
      </c>
      <c r="J22" s="29"/>
      <c r="K22" s="221"/>
    </row>
    <row r="23" spans="1:12" ht="15" customHeight="1">
      <c r="A23" s="31" t="s">
        <v>25</v>
      </c>
      <c r="B23" s="32">
        <v>0.504</v>
      </c>
      <c r="C23" s="32">
        <v>0</v>
      </c>
      <c r="D23" s="32">
        <v>5.8000000000000003E-2</v>
      </c>
      <c r="E23" s="32">
        <v>1E-3</v>
      </c>
      <c r="F23" s="32">
        <v>0.41399999999999998</v>
      </c>
      <c r="G23" s="32">
        <v>2.1999999999999999E-2</v>
      </c>
      <c r="H23" s="32">
        <v>0.44</v>
      </c>
      <c r="I23" s="33">
        <v>8500</v>
      </c>
      <c r="J23" s="32"/>
      <c r="K23" s="221"/>
    </row>
    <row r="24" spans="1:12" ht="15" customHeight="1">
      <c r="A24" s="28" t="s">
        <v>24</v>
      </c>
      <c r="B24" s="29">
        <v>0.53</v>
      </c>
      <c r="C24" s="29">
        <v>0</v>
      </c>
      <c r="D24" s="29">
        <v>6.2E-2</v>
      </c>
      <c r="E24" s="29">
        <v>1E-3</v>
      </c>
      <c r="F24" s="29">
        <v>0.39300000000000002</v>
      </c>
      <c r="G24" s="29">
        <v>1.4999999999999999E-2</v>
      </c>
      <c r="H24" s="29">
        <v>0.41</v>
      </c>
      <c r="I24" s="30">
        <v>9400</v>
      </c>
      <c r="J24" s="29">
        <v>1.3994999999999999E-2</v>
      </c>
      <c r="K24" s="221"/>
    </row>
    <row r="25" spans="1:12" ht="15" customHeight="1">
      <c r="A25" s="31" t="s">
        <v>23</v>
      </c>
      <c r="B25" s="32">
        <v>0.52900000000000003</v>
      </c>
      <c r="C25" s="32">
        <v>0</v>
      </c>
      <c r="D25" s="32">
        <v>6.3E-2</v>
      </c>
      <c r="E25" s="32">
        <v>1E-3</v>
      </c>
      <c r="F25" s="32">
        <v>0.39700000000000002</v>
      </c>
      <c r="G25" s="32">
        <v>0.01</v>
      </c>
      <c r="H25" s="32">
        <v>0.36</v>
      </c>
      <c r="I25" s="33">
        <v>8600</v>
      </c>
      <c r="J25" s="32">
        <v>1.7519999999999999E-3</v>
      </c>
      <c r="K25" s="221"/>
    </row>
    <row r="26" spans="1:12" ht="15" customHeight="1">
      <c r="A26" s="28" t="s">
        <v>22</v>
      </c>
      <c r="B26" s="29">
        <v>0.55000000000000004</v>
      </c>
      <c r="C26" s="29">
        <v>0</v>
      </c>
      <c r="D26" s="29">
        <v>5.8000000000000003E-2</v>
      </c>
      <c r="E26" s="29">
        <v>1E-3</v>
      </c>
      <c r="F26" s="29">
        <v>0.38600000000000001</v>
      </c>
      <c r="G26" s="29">
        <v>8.0000000000000002E-3</v>
      </c>
      <c r="H26" s="29">
        <v>0.5</v>
      </c>
      <c r="I26" s="30">
        <v>10000</v>
      </c>
      <c r="J26" s="29"/>
      <c r="K26" s="221"/>
    </row>
    <row r="27" spans="1:12" ht="15" customHeight="1">
      <c r="A27" s="31" t="s">
        <v>21</v>
      </c>
      <c r="B27" s="32">
        <v>0.52900000000000003</v>
      </c>
      <c r="C27" s="32">
        <v>0</v>
      </c>
      <c r="D27" s="32">
        <v>6.3E-2</v>
      </c>
      <c r="E27" s="32">
        <v>1E-3</v>
      </c>
      <c r="F27" s="32">
        <v>0.39700000000000002</v>
      </c>
      <c r="G27" s="32">
        <v>0.01</v>
      </c>
      <c r="H27" s="32">
        <v>0.52</v>
      </c>
      <c r="I27" s="33">
        <v>9100</v>
      </c>
      <c r="J27" s="32"/>
      <c r="K27" s="221"/>
    </row>
    <row r="28" spans="1:12" ht="15" customHeight="1">
      <c r="A28" s="28" t="s">
        <v>20</v>
      </c>
      <c r="B28" s="29">
        <v>0.53100000000000003</v>
      </c>
      <c r="C28" s="29">
        <v>0</v>
      </c>
      <c r="D28" s="29">
        <v>5.8999999999999997E-2</v>
      </c>
      <c r="E28" s="29">
        <v>2E-3</v>
      </c>
      <c r="F28" s="29">
        <v>0.379</v>
      </c>
      <c r="G28" s="29">
        <v>2.9000000000000001E-2</v>
      </c>
      <c r="H28" s="29">
        <v>0.23</v>
      </c>
      <c r="I28" s="30">
        <v>9500</v>
      </c>
      <c r="J28" s="29">
        <v>3.7474500000000001E-2</v>
      </c>
      <c r="K28" s="221"/>
    </row>
    <row r="29" spans="1:12" ht="15" customHeight="1">
      <c r="A29" s="31" t="s">
        <v>19</v>
      </c>
      <c r="B29" s="32">
        <v>0.53500000000000003</v>
      </c>
      <c r="C29" s="32">
        <v>0</v>
      </c>
      <c r="D29" s="32">
        <v>5.8999999999999997E-2</v>
      </c>
      <c r="E29" s="32">
        <v>1E-3</v>
      </c>
      <c r="F29" s="32">
        <v>0.40300000000000002</v>
      </c>
      <c r="G29" s="32">
        <v>2E-3</v>
      </c>
      <c r="H29" s="32">
        <v>0.55000000000000004</v>
      </c>
      <c r="I29" s="33">
        <v>9000</v>
      </c>
      <c r="J29" s="32"/>
      <c r="K29" s="221"/>
    </row>
    <row r="30" spans="1:12" ht="15" customHeight="1">
      <c r="A30" s="28" t="s">
        <v>18</v>
      </c>
      <c r="B30" s="29">
        <v>0.51900000000000002</v>
      </c>
      <c r="C30" s="29">
        <v>0</v>
      </c>
      <c r="D30" s="29">
        <v>5.0999999999999997E-2</v>
      </c>
      <c r="E30" s="29">
        <v>1E-3</v>
      </c>
      <c r="F30" s="29">
        <v>0.42399999999999999</v>
      </c>
      <c r="G30" s="29">
        <v>5.0000000000000001E-3</v>
      </c>
      <c r="H30" s="29">
        <v>0.12</v>
      </c>
      <c r="I30" s="30">
        <v>8350</v>
      </c>
      <c r="J30" s="29"/>
      <c r="K30" s="221"/>
    </row>
    <row r="31" spans="1:12" ht="15" customHeight="1">
      <c r="A31" s="31" t="s">
        <v>17</v>
      </c>
      <c r="B31" s="32">
        <v>0.52900000000000003</v>
      </c>
      <c r="C31" s="32">
        <v>0</v>
      </c>
      <c r="D31" s="32">
        <v>6.3E-2</v>
      </c>
      <c r="E31" s="32">
        <v>1E-3</v>
      </c>
      <c r="F31" s="32">
        <v>0.39700000000000002</v>
      </c>
      <c r="G31" s="32">
        <v>0.01</v>
      </c>
      <c r="H31" s="32">
        <v>0.33</v>
      </c>
      <c r="I31" s="33">
        <v>9000</v>
      </c>
      <c r="J31" s="32"/>
      <c r="K31" s="221"/>
    </row>
    <row r="32" spans="1:12" ht="15" customHeight="1">
      <c r="A32" s="28" t="s">
        <v>16</v>
      </c>
      <c r="B32" s="29">
        <v>0.53100000000000003</v>
      </c>
      <c r="C32" s="29">
        <v>0</v>
      </c>
      <c r="D32" s="29">
        <v>5.8999999999999997E-2</v>
      </c>
      <c r="E32" s="29">
        <v>2E-3</v>
      </c>
      <c r="F32" s="29">
        <v>0.379</v>
      </c>
      <c r="G32" s="29">
        <v>2.9000000000000001E-2</v>
      </c>
      <c r="H32" s="29">
        <v>0.32</v>
      </c>
      <c r="I32" s="30">
        <v>8850</v>
      </c>
      <c r="J32" s="29"/>
      <c r="K32" s="221"/>
    </row>
    <row r="33" spans="1:11" ht="15" customHeight="1">
      <c r="A33" s="31" t="s">
        <v>15</v>
      </c>
      <c r="B33" s="32">
        <v>0.52900000000000003</v>
      </c>
      <c r="C33" s="32">
        <v>0</v>
      </c>
      <c r="D33" s="32">
        <v>6.3E-2</v>
      </c>
      <c r="E33" s="32">
        <v>1E-3</v>
      </c>
      <c r="F33" s="32">
        <v>0.39700000000000002</v>
      </c>
      <c r="G33" s="32">
        <v>0.01</v>
      </c>
      <c r="H33" s="32">
        <v>0.3</v>
      </c>
      <c r="I33" s="33">
        <v>9000</v>
      </c>
      <c r="J33" s="32"/>
      <c r="K33" s="221"/>
    </row>
    <row r="34" spans="1:11" ht="15" customHeight="1">
      <c r="A34" s="28" t="s">
        <v>14</v>
      </c>
      <c r="B34" s="29">
        <v>0.53100000000000003</v>
      </c>
      <c r="C34" s="29">
        <v>0</v>
      </c>
      <c r="D34" s="29">
        <v>5.8999999999999997E-2</v>
      </c>
      <c r="E34" s="29">
        <v>2E-3</v>
      </c>
      <c r="F34" s="29">
        <v>0.379</v>
      </c>
      <c r="G34" s="29">
        <v>2.9000000000000001E-2</v>
      </c>
      <c r="H34" s="29">
        <v>0.25</v>
      </c>
      <c r="I34" s="30">
        <v>9000</v>
      </c>
      <c r="J34" s="29"/>
      <c r="K34" s="221"/>
    </row>
    <row r="35" spans="1:11" ht="15" customHeight="1">
      <c r="A35" s="31" t="s">
        <v>13</v>
      </c>
      <c r="B35" s="32">
        <v>0.50800000000000001</v>
      </c>
      <c r="C35" s="32">
        <v>0</v>
      </c>
      <c r="D35" s="32">
        <v>6.4000000000000001E-2</v>
      </c>
      <c r="E35" s="32">
        <v>4.0000000000000001E-3</v>
      </c>
      <c r="F35" s="32">
        <v>0.41799999999999998</v>
      </c>
      <c r="G35" s="32">
        <v>6.0000000000000001E-3</v>
      </c>
      <c r="H35" s="32">
        <v>0.5</v>
      </c>
      <c r="I35" s="33">
        <v>8000</v>
      </c>
      <c r="J35" s="32">
        <v>2.0090400000000001E-2</v>
      </c>
      <c r="K35" s="221"/>
    </row>
    <row r="36" spans="1:11" ht="15" customHeight="1">
      <c r="A36" s="28" t="s">
        <v>12</v>
      </c>
      <c r="B36" s="29">
        <v>0.51200000000000001</v>
      </c>
      <c r="C36" s="29">
        <v>0</v>
      </c>
      <c r="D36" s="29">
        <v>0.06</v>
      </c>
      <c r="E36" s="29">
        <v>4.0000000000000001E-3</v>
      </c>
      <c r="F36" s="29">
        <v>0.379</v>
      </c>
      <c r="G36" s="29">
        <v>4.4999999999999998E-2</v>
      </c>
      <c r="H36" s="29">
        <v>0.45</v>
      </c>
      <c r="I36" s="30">
        <v>8600</v>
      </c>
      <c r="J36" s="29">
        <v>5.084E-3</v>
      </c>
      <c r="K36" s="221"/>
    </row>
    <row r="37" spans="1:11" ht="15" customHeight="1">
      <c r="A37" s="31" t="s">
        <v>11</v>
      </c>
      <c r="B37" s="32">
        <v>0.50800000000000001</v>
      </c>
      <c r="C37" s="32">
        <v>0</v>
      </c>
      <c r="D37" s="32">
        <v>6.4000000000000001E-2</v>
      </c>
      <c r="E37" s="32">
        <v>4.0000000000000001E-3</v>
      </c>
      <c r="F37" s="32">
        <v>0.41799999999999998</v>
      </c>
      <c r="G37" s="32">
        <v>6.0000000000000001E-3</v>
      </c>
      <c r="H37" s="32">
        <v>0.32</v>
      </c>
      <c r="I37" s="33">
        <v>8200</v>
      </c>
      <c r="J37" s="32"/>
      <c r="K37" s="221"/>
    </row>
    <row r="38" spans="1:11" ht="15" customHeight="1">
      <c r="A38" s="28" t="s">
        <v>10</v>
      </c>
      <c r="B38" s="29">
        <v>0.51200000000000001</v>
      </c>
      <c r="C38" s="29">
        <v>0</v>
      </c>
      <c r="D38" s="29">
        <v>0.06</v>
      </c>
      <c r="E38" s="29">
        <v>4.0000000000000001E-3</v>
      </c>
      <c r="F38" s="29">
        <v>0.379</v>
      </c>
      <c r="G38" s="29">
        <v>4.4999999999999998E-2</v>
      </c>
      <c r="H38" s="29">
        <v>0.32</v>
      </c>
      <c r="I38" s="30">
        <v>8200</v>
      </c>
      <c r="J38" s="29"/>
      <c r="K38" s="221"/>
    </row>
    <row r="39" spans="1:11" ht="15" customHeight="1">
      <c r="A39" s="31" t="s">
        <v>9</v>
      </c>
      <c r="B39" s="32">
        <v>0.50800000000000001</v>
      </c>
      <c r="C39" s="32">
        <v>0</v>
      </c>
      <c r="D39" s="32">
        <v>6.4000000000000001E-2</v>
      </c>
      <c r="E39" s="32">
        <v>4.0000000000000001E-3</v>
      </c>
      <c r="F39" s="32">
        <v>0.41799999999999998</v>
      </c>
      <c r="G39" s="32">
        <v>6.0000000000000001E-3</v>
      </c>
      <c r="H39" s="32">
        <v>0.38</v>
      </c>
      <c r="I39" s="33">
        <v>8250</v>
      </c>
      <c r="J39" s="32"/>
      <c r="K39" s="221"/>
    </row>
    <row r="40" spans="1:11" ht="15" customHeight="1">
      <c r="A40" s="28" t="s">
        <v>8</v>
      </c>
      <c r="B40" s="29">
        <v>0.51200000000000001</v>
      </c>
      <c r="C40" s="29">
        <v>0</v>
      </c>
      <c r="D40" s="29">
        <v>0.06</v>
      </c>
      <c r="E40" s="29">
        <v>4.0000000000000001E-3</v>
      </c>
      <c r="F40" s="29">
        <v>0.379</v>
      </c>
      <c r="G40" s="29">
        <v>4.4999999999999998E-2</v>
      </c>
      <c r="H40" s="29">
        <v>0.38</v>
      </c>
      <c r="I40" s="30">
        <v>8300</v>
      </c>
      <c r="J40" s="29"/>
      <c r="K40" s="221"/>
    </row>
    <row r="41" spans="1:11" ht="15" customHeight="1">
      <c r="A41" s="31" t="s">
        <v>7</v>
      </c>
      <c r="B41" s="32">
        <v>0.50800000000000001</v>
      </c>
      <c r="C41" s="32">
        <v>0</v>
      </c>
      <c r="D41" s="32">
        <v>6.4000000000000001E-2</v>
      </c>
      <c r="E41" s="32">
        <v>4.0000000000000001E-3</v>
      </c>
      <c r="F41" s="32">
        <v>0.41799999999999998</v>
      </c>
      <c r="G41" s="32">
        <v>6.0000000000000001E-3</v>
      </c>
      <c r="H41" s="32">
        <v>0.41</v>
      </c>
      <c r="I41" s="33">
        <v>8110</v>
      </c>
      <c r="J41" s="32"/>
      <c r="K41" s="221"/>
    </row>
    <row r="42" spans="1:11" ht="15" customHeight="1">
      <c r="A42" s="28" t="s">
        <v>6</v>
      </c>
      <c r="B42" s="29">
        <v>0.51200000000000001</v>
      </c>
      <c r="C42" s="29">
        <v>0</v>
      </c>
      <c r="D42" s="29">
        <v>0.06</v>
      </c>
      <c r="E42" s="29">
        <v>4.0000000000000001E-3</v>
      </c>
      <c r="F42" s="29">
        <v>0.379</v>
      </c>
      <c r="G42" s="29">
        <v>4.4999999999999998E-2</v>
      </c>
      <c r="H42" s="29">
        <v>0.41</v>
      </c>
      <c r="I42" s="30">
        <v>8110</v>
      </c>
      <c r="J42" s="29"/>
      <c r="K42" s="221"/>
    </row>
    <row r="43" spans="1:11" ht="15" customHeight="1">
      <c r="A43" s="31" t="s">
        <v>5</v>
      </c>
      <c r="B43" s="32">
        <v>0.52900000000000003</v>
      </c>
      <c r="C43" s="32">
        <v>0</v>
      </c>
      <c r="D43" s="32">
        <v>6.3E-2</v>
      </c>
      <c r="E43" s="32">
        <v>1E-3</v>
      </c>
      <c r="F43" s="32">
        <v>0.39700000000000002</v>
      </c>
      <c r="G43" s="32">
        <v>0.01</v>
      </c>
      <c r="H43" s="32">
        <v>0.5</v>
      </c>
      <c r="I43" s="33">
        <v>9000</v>
      </c>
      <c r="J43" s="32"/>
      <c r="K43" s="221"/>
    </row>
    <row r="44" spans="1:11" ht="15" customHeight="1">
      <c r="A44" s="28" t="s">
        <v>4</v>
      </c>
      <c r="B44" s="29">
        <v>0.53100000000000003</v>
      </c>
      <c r="C44" s="29">
        <v>0</v>
      </c>
      <c r="D44" s="29">
        <v>5.8999999999999997E-2</v>
      </c>
      <c r="E44" s="29">
        <v>2E-3</v>
      </c>
      <c r="F44" s="29">
        <v>0.379</v>
      </c>
      <c r="G44" s="29">
        <v>2.9000000000000001E-2</v>
      </c>
      <c r="H44" s="29">
        <v>0.4</v>
      </c>
      <c r="I44" s="30">
        <v>9100</v>
      </c>
      <c r="J44" s="29"/>
      <c r="K44" s="221"/>
    </row>
    <row r="45" spans="1:11" ht="15" customHeight="1">
      <c r="A45" s="31" t="s">
        <v>3</v>
      </c>
      <c r="B45" s="32">
        <v>0.50800000000000001</v>
      </c>
      <c r="C45" s="32">
        <v>0</v>
      </c>
      <c r="D45" s="32">
        <v>6.4000000000000001E-2</v>
      </c>
      <c r="E45" s="32">
        <v>4.0000000000000001E-3</v>
      </c>
      <c r="F45" s="32">
        <v>0.41799999999999998</v>
      </c>
      <c r="G45" s="32">
        <v>6.0000000000000001E-3</v>
      </c>
      <c r="H45" s="32">
        <v>0.5</v>
      </c>
      <c r="I45" s="33">
        <v>9000</v>
      </c>
      <c r="J45" s="32">
        <v>1.0800000000000001E-2</v>
      </c>
      <c r="K45" s="221"/>
    </row>
    <row r="46" spans="1:11" ht="15" customHeight="1">
      <c r="A46" s="28" t="s">
        <v>2</v>
      </c>
      <c r="B46" s="29">
        <v>0.51200000000000001</v>
      </c>
      <c r="C46" s="29">
        <v>0</v>
      </c>
      <c r="D46" s="29">
        <v>0.06</v>
      </c>
      <c r="E46" s="29">
        <v>4.0000000000000001E-3</v>
      </c>
      <c r="F46" s="29">
        <v>0.379</v>
      </c>
      <c r="G46" s="29">
        <v>4.4999999999999998E-2</v>
      </c>
      <c r="H46" s="29">
        <v>0.4</v>
      </c>
      <c r="I46" s="30">
        <v>9100</v>
      </c>
      <c r="J46" s="29"/>
      <c r="K46" s="221"/>
    </row>
    <row r="47" spans="1:11" ht="15" customHeight="1">
      <c r="A47" s="34" t="s">
        <v>1</v>
      </c>
      <c r="B47" s="35">
        <v>0.375</v>
      </c>
      <c r="C47" s="35">
        <v>0</v>
      </c>
      <c r="D47" s="35">
        <v>7.1800000000000003E-2</v>
      </c>
      <c r="E47" s="35">
        <v>1E-4</v>
      </c>
      <c r="F47" s="35">
        <v>0.53200000000000003</v>
      </c>
      <c r="G47" s="35">
        <v>0</v>
      </c>
      <c r="H47" s="35">
        <v>0.5</v>
      </c>
      <c r="I47" s="36">
        <v>9450</v>
      </c>
      <c r="J47" s="35"/>
      <c r="K47" s="87"/>
    </row>
    <row r="48" spans="1:11" ht="15" customHeight="1">
      <c r="A48" s="460" t="s">
        <v>0</v>
      </c>
      <c r="B48" s="460"/>
      <c r="C48" s="460"/>
      <c r="D48" s="460"/>
      <c r="E48" s="460"/>
      <c r="F48" s="460"/>
      <c r="G48" s="460"/>
      <c r="H48" s="460"/>
      <c r="I48" s="460"/>
      <c r="J48" s="460"/>
    </row>
  </sheetData>
  <sheetProtection password="E0B2" sheet="1" objects="1" scenarios="1" selectLockedCells="1"/>
  <mergeCells count="25">
    <mergeCell ref="G4:G5"/>
    <mergeCell ref="H4:H5"/>
    <mergeCell ref="B1:D1"/>
    <mergeCell ref="A3:L3"/>
    <mergeCell ref="K4:L4"/>
    <mergeCell ref="A4:A5"/>
    <mergeCell ref="B4:B5"/>
    <mergeCell ref="C4:C5"/>
    <mergeCell ref="I4:I5"/>
    <mergeCell ref="D4:D5"/>
    <mergeCell ref="E4:E5"/>
    <mergeCell ref="F4:F5"/>
    <mergeCell ref="F15:I15"/>
    <mergeCell ref="B15:D15"/>
    <mergeCell ref="A48:J48"/>
    <mergeCell ref="H18:H19"/>
    <mergeCell ref="I18:I19"/>
    <mergeCell ref="A17:J17"/>
    <mergeCell ref="A18:A19"/>
    <mergeCell ref="B18:B19"/>
    <mergeCell ref="C18:C19"/>
    <mergeCell ref="D18:D19"/>
    <mergeCell ref="E18:E19"/>
    <mergeCell ref="F18:F19"/>
    <mergeCell ref="G18:G19"/>
  </mergeCells>
  <conditionalFormatting sqref="A21:J47">
    <cfRule type="expression" dxfId="2" priority="2" stopIfTrue="1">
      <formula>$A21=$B$15</formula>
    </cfRule>
  </conditionalFormatting>
  <conditionalFormatting sqref="A7:L13">
    <cfRule type="expression" dxfId="1" priority="1" stopIfTrue="1">
      <formula>$A7=$B$1</formula>
    </cfRule>
  </conditionalFormatting>
  <dataValidations count="2">
    <dataValidation type="list" allowBlank="1" showInputMessage="1" showErrorMessage="1" sqref="B15:D15">
      <formula1>$A$21:$A$47</formula1>
    </dataValidation>
    <dataValidation type="list" allowBlank="1" showInputMessage="1" showErrorMessage="1" sqref="B1:D1">
      <formula1>'Fuel Properties'!A7:A13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M134"/>
  <sheetViews>
    <sheetView showGridLines="0" workbookViewId="0">
      <selection activeCell="H5" sqref="H5"/>
    </sheetView>
  </sheetViews>
  <sheetFormatPr defaultRowHeight="15"/>
  <cols>
    <col min="1" max="1" width="10.7109375" style="223" customWidth="1"/>
    <col min="2" max="2" width="11.42578125" style="223" customWidth="1"/>
    <col min="3" max="4" width="13.5703125" style="223" customWidth="1"/>
    <col min="5" max="5" width="12.85546875" style="223" customWidth="1"/>
    <col min="6" max="6" width="13.5703125" style="223" customWidth="1"/>
    <col min="7" max="7" width="2.140625" style="233" customWidth="1"/>
    <col min="8" max="8" width="10.7109375" style="223" customWidth="1"/>
    <col min="9" max="9" width="11.42578125" style="223" customWidth="1"/>
    <col min="10" max="11" width="13.5703125" style="223" customWidth="1"/>
    <col min="12" max="12" width="12.85546875" style="223" customWidth="1"/>
    <col min="13" max="13" width="13.5703125" style="223" customWidth="1"/>
    <col min="14" max="16384" width="9.140625" style="223"/>
  </cols>
  <sheetData>
    <row r="1" spans="1:13" ht="15" customHeight="1">
      <c r="A1" s="475" t="s">
        <v>177</v>
      </c>
      <c r="B1" s="476"/>
      <c r="C1" s="476"/>
      <c r="D1" s="476"/>
      <c r="E1" s="476"/>
      <c r="F1" s="477"/>
      <c r="G1" s="222"/>
      <c r="H1" s="475" t="s">
        <v>192</v>
      </c>
      <c r="I1" s="476"/>
      <c r="J1" s="476"/>
      <c r="K1" s="476"/>
      <c r="L1" s="476"/>
      <c r="M1" s="477"/>
    </row>
    <row r="2" spans="1:13" ht="15" customHeight="1">
      <c r="A2" s="481" t="s">
        <v>188</v>
      </c>
      <c r="B2" s="481" t="s">
        <v>193</v>
      </c>
      <c r="C2" s="481" t="s">
        <v>189</v>
      </c>
      <c r="D2" s="478" t="s">
        <v>178</v>
      </c>
      <c r="E2" s="479"/>
      <c r="F2" s="480"/>
      <c r="G2" s="224"/>
      <c r="H2" s="483" t="s">
        <v>188</v>
      </c>
      <c r="I2" s="484" t="s">
        <v>193</v>
      </c>
      <c r="J2" s="482" t="s">
        <v>189</v>
      </c>
      <c r="K2" s="485" t="s">
        <v>178</v>
      </c>
      <c r="L2" s="486"/>
      <c r="M2" s="487"/>
    </row>
    <row r="3" spans="1:13" ht="15" customHeight="1">
      <c r="A3" s="482"/>
      <c r="B3" s="482"/>
      <c r="C3" s="482"/>
      <c r="D3" s="225" t="s">
        <v>179</v>
      </c>
      <c r="E3" s="226" t="s">
        <v>180</v>
      </c>
      <c r="F3" s="225" t="s">
        <v>181</v>
      </c>
      <c r="G3" s="227"/>
      <c r="H3" s="483"/>
      <c r="I3" s="484"/>
      <c r="J3" s="482"/>
      <c r="K3" s="225" t="s">
        <v>179</v>
      </c>
      <c r="L3" s="226" t="s">
        <v>180</v>
      </c>
      <c r="M3" s="225" t="s">
        <v>181</v>
      </c>
    </row>
    <row r="4" spans="1:13">
      <c r="A4" s="228" t="s">
        <v>187</v>
      </c>
      <c r="B4" s="228" t="s">
        <v>190</v>
      </c>
      <c r="C4" s="228" t="s">
        <v>191</v>
      </c>
      <c r="D4" s="228" t="s">
        <v>29</v>
      </c>
      <c r="E4" s="228" t="s">
        <v>29</v>
      </c>
      <c r="F4" s="228" t="s">
        <v>29</v>
      </c>
      <c r="G4" s="229"/>
      <c r="H4" s="228" t="s">
        <v>187</v>
      </c>
      <c r="I4" s="228" t="s">
        <v>190</v>
      </c>
      <c r="J4" s="228" t="s">
        <v>191</v>
      </c>
      <c r="K4" s="228" t="s">
        <v>29</v>
      </c>
      <c r="L4" s="228" t="s">
        <v>29</v>
      </c>
      <c r="M4" s="228" t="s">
        <v>29</v>
      </c>
    </row>
    <row r="5" spans="1:13">
      <c r="A5" s="139" t="s">
        <v>182</v>
      </c>
      <c r="B5" s="139">
        <v>134</v>
      </c>
      <c r="C5" s="139">
        <v>142</v>
      </c>
      <c r="D5" s="139">
        <v>102</v>
      </c>
      <c r="E5" s="140">
        <v>1017</v>
      </c>
      <c r="F5" s="140">
        <v>1119</v>
      </c>
      <c r="G5" s="230"/>
      <c r="H5" s="152">
        <v>0</v>
      </c>
      <c r="I5" s="149">
        <f ca="1">IF(H5="","-",(OFFSET('Steam Properties'!$A$5,MATCH(H5,'Steam Properties'!$A$5:'Steam Properties'!$A$129,TRUE),1,1,1)-VLOOKUP(H5,'Steam Properties'!$A$5:'Steam Properties'!$F$129,2,TRUE))/(OFFSET('Steam Properties'!$A$5,MATCH(H5,'Steam Properties'!$A$5:'Steam Properties'!$A$129,TRUE),0,1,1)-VLOOKUP(H5,'Steam Properties'!$A$5:'Steam Properties'!$F$129,1,TRUE))*(H5-VLOOKUP(H5,'Steam Properties'!$A$5:'Steam Properties'!$F$129,1,TRUE))+VLOOKUP(H5,'Steam Properties'!$A$5:'Steam Properties'!$F$129,2,TRUE))</f>
        <v>212</v>
      </c>
      <c r="J5" s="150">
        <f ca="1">IF(H5="","-",(OFFSET('Steam Properties'!$A$5,MATCH(H5,'Steam Properties'!$A$5:'Steam Properties'!$A$129,TRUE),1,1,1)-VLOOKUP(H5,'Steam Properties'!$A$5:'Steam Properties'!$F$129,3,TRUE))/(OFFSET('Steam Properties'!$A$5,MATCH(H5,'Steam Properties'!$A$5:'Steam Properties'!$A$129,TRUE),0,1,1)-VLOOKUP(H5,'Steam Properties'!$A$5:'Steam Properties'!$F$129,1,TRUE))*(H5-VLOOKUP(H5,'Steam Properties'!$A$5:'Steam Properties'!$F$129,1,TRUE))+VLOOKUP(H5,'Steam Properties'!$A$5:'Steam Properties'!$F$129,3,TRUE))</f>
        <v>26.8</v>
      </c>
      <c r="K5" s="151">
        <f ca="1">IF(H5="","-",(OFFSET('Steam Properties'!$A$5,MATCH(H5,'Steam Properties'!$A$5:'Steam Properties'!$A$129,TRUE),1,1,1)-VLOOKUP(H5,'Steam Properties'!$A$5:'Steam Properties'!$F$129,4,TRUE))/(OFFSET('Steam Properties'!$A$5,MATCH(H5,'Steam Properties'!$A$5:'Steam Properties'!$A$129,TRUE),0,1,1)-VLOOKUP(H5,'Steam Properties'!$A$5:'Steam Properties'!$F$129,1,TRUE))*(H5-VLOOKUP(H5,'Steam Properties'!$A$5:'Steam Properties'!$F$129,1,TRUE))+VLOOKUP(H5,'Steam Properties'!$A$5:'Steam Properties'!$F$129,4,TRUE))</f>
        <v>180</v>
      </c>
      <c r="L5" s="151">
        <f ca="1">IF(H5="","-",(OFFSET('Steam Properties'!$A$5,MATCH(H5,'Steam Properties'!$A$5:'Steam Properties'!$A$129,TRUE),1,1,1)-VLOOKUP(H5,'Steam Properties'!$A$5:'Steam Properties'!$F$129,5,TRUE))/(OFFSET('Steam Properties'!$A$5,MATCH(H5,'Steam Properties'!$A$5:'Steam Properties'!$A$129,TRUE),0,1,1)-VLOOKUP(H5,'Steam Properties'!$A$5:'Steam Properties'!$F$129,1,TRUE))*(H5-VLOOKUP(H5,'Steam Properties'!$A$5:'Steam Properties'!$F$129,1,TRUE))+VLOOKUP(H5,'Steam Properties'!$A$5:'Steam Properties'!$F$129,5,TRUE))</f>
        <v>970</v>
      </c>
      <c r="M5" s="151">
        <f ca="1">IF(H5="","-",(OFFSET('Steam Properties'!$A$5,MATCH(H5,'Steam Properties'!$A$5:'Steam Properties'!$A$129,TRUE),1,1,1)-VLOOKUP(H5,'Steam Properties'!$A$5:'Steam Properties'!$F$129,6,TRUE))/(OFFSET('Steam Properties'!$A$5,MATCH(H5,'Steam Properties'!$A$5:'Steam Properties'!$A$129,TRUE),0,1,1)-VLOOKUP(H5,'Steam Properties'!$A$5:'Steam Properties'!$F$129,1,TRUE))*(H5-VLOOKUP(H5,'Steam Properties'!$A$5:'Steam Properties'!$F$129,1,TRUE))+VLOOKUP(H5,'Steam Properties'!$A$5:'Steam Properties'!$F$129,6,TRUE))</f>
        <v>1150</v>
      </c>
    </row>
    <row r="6" spans="1:13">
      <c r="A6" s="141" t="s">
        <v>183</v>
      </c>
      <c r="B6" s="141">
        <v>162</v>
      </c>
      <c r="C6" s="141">
        <v>73.900000000000006</v>
      </c>
      <c r="D6" s="141">
        <v>129</v>
      </c>
      <c r="E6" s="142">
        <v>1001</v>
      </c>
      <c r="F6" s="142">
        <v>1130</v>
      </c>
      <c r="G6" s="230"/>
      <c r="H6" s="148"/>
      <c r="I6" s="138"/>
      <c r="J6" s="138"/>
      <c r="K6" s="138"/>
      <c r="L6" s="138"/>
      <c r="M6" s="138"/>
    </row>
    <row r="7" spans="1:13">
      <c r="A7" s="143" t="s">
        <v>184</v>
      </c>
      <c r="B7" s="143">
        <v>179</v>
      </c>
      <c r="C7" s="143">
        <v>51.3</v>
      </c>
      <c r="D7" s="143">
        <v>147</v>
      </c>
      <c r="E7" s="144">
        <v>990</v>
      </c>
      <c r="F7" s="144">
        <v>1137</v>
      </c>
      <c r="G7" s="230"/>
      <c r="H7" s="148"/>
      <c r="I7" s="138"/>
      <c r="J7" s="138"/>
      <c r="K7" s="138"/>
      <c r="L7" s="138"/>
      <c r="M7" s="138"/>
    </row>
    <row r="8" spans="1:13">
      <c r="A8" s="141" t="s">
        <v>185</v>
      </c>
      <c r="B8" s="141">
        <v>192</v>
      </c>
      <c r="C8" s="141">
        <v>39.4</v>
      </c>
      <c r="D8" s="141">
        <v>160</v>
      </c>
      <c r="E8" s="142">
        <v>982</v>
      </c>
      <c r="F8" s="142">
        <v>1142</v>
      </c>
      <c r="G8" s="230"/>
      <c r="H8" s="148"/>
      <c r="I8" s="138"/>
      <c r="J8" s="138"/>
      <c r="K8" s="138"/>
      <c r="L8" s="138"/>
      <c r="M8" s="138"/>
    </row>
    <row r="9" spans="1:13">
      <c r="A9" s="143" t="s">
        <v>186</v>
      </c>
      <c r="B9" s="143">
        <v>203</v>
      </c>
      <c r="C9" s="143">
        <v>31.8</v>
      </c>
      <c r="D9" s="143">
        <v>171</v>
      </c>
      <c r="E9" s="144">
        <v>976</v>
      </c>
      <c r="F9" s="144">
        <v>1147</v>
      </c>
      <c r="G9" s="230"/>
      <c r="H9" s="148"/>
      <c r="I9" s="138"/>
      <c r="J9" s="138"/>
      <c r="K9" s="138"/>
      <c r="L9" s="138"/>
      <c r="M9" s="138"/>
    </row>
    <row r="10" spans="1:13">
      <c r="A10" s="145">
        <v>0</v>
      </c>
      <c r="B10" s="145">
        <v>212</v>
      </c>
      <c r="C10" s="145">
        <v>26.8</v>
      </c>
      <c r="D10" s="145">
        <v>180</v>
      </c>
      <c r="E10" s="146">
        <v>970</v>
      </c>
      <c r="F10" s="146">
        <v>1150</v>
      </c>
      <c r="G10" s="230"/>
      <c r="H10" s="148"/>
      <c r="I10" s="138"/>
      <c r="J10" s="138"/>
      <c r="K10" s="138"/>
      <c r="L10" s="138"/>
      <c r="M10" s="138"/>
    </row>
    <row r="11" spans="1:13">
      <c r="A11" s="143">
        <v>1</v>
      </c>
      <c r="B11" s="143">
        <v>215</v>
      </c>
      <c r="C11" s="143">
        <v>25.2</v>
      </c>
      <c r="D11" s="143">
        <v>183</v>
      </c>
      <c r="E11" s="144">
        <v>968</v>
      </c>
      <c r="F11" s="144">
        <v>1151</v>
      </c>
      <c r="G11" s="230"/>
      <c r="H11" s="148"/>
      <c r="I11" s="138"/>
      <c r="J11" s="138"/>
      <c r="K11" s="138"/>
      <c r="L11" s="138"/>
      <c r="M11" s="138"/>
    </row>
    <row r="12" spans="1:13">
      <c r="A12" s="145">
        <v>2</v>
      </c>
      <c r="B12" s="145">
        <v>219</v>
      </c>
      <c r="C12" s="145">
        <v>23.5</v>
      </c>
      <c r="D12" s="145">
        <v>187</v>
      </c>
      <c r="E12" s="146">
        <v>966</v>
      </c>
      <c r="F12" s="146">
        <v>1153</v>
      </c>
      <c r="G12" s="230"/>
      <c r="H12" s="148"/>
      <c r="I12" s="138"/>
      <c r="J12" s="138"/>
      <c r="K12" s="138"/>
      <c r="L12" s="138"/>
      <c r="M12" s="138"/>
    </row>
    <row r="13" spans="1:13">
      <c r="A13" s="143">
        <v>3</v>
      </c>
      <c r="B13" s="143">
        <v>222</v>
      </c>
      <c r="C13" s="143">
        <v>22.3</v>
      </c>
      <c r="D13" s="143">
        <v>190</v>
      </c>
      <c r="E13" s="144">
        <v>964</v>
      </c>
      <c r="F13" s="144">
        <v>1154</v>
      </c>
      <c r="G13" s="230"/>
      <c r="H13" s="148"/>
      <c r="I13" s="138"/>
      <c r="J13" s="138"/>
      <c r="K13" s="138"/>
      <c r="L13" s="138"/>
      <c r="M13" s="138"/>
    </row>
    <row r="14" spans="1:13">
      <c r="A14" s="145">
        <v>4</v>
      </c>
      <c r="B14" s="145">
        <v>224</v>
      </c>
      <c r="C14" s="145">
        <v>21.4</v>
      </c>
      <c r="D14" s="145">
        <v>192</v>
      </c>
      <c r="E14" s="146">
        <v>962</v>
      </c>
      <c r="F14" s="146">
        <v>1154</v>
      </c>
      <c r="G14" s="230"/>
      <c r="H14" s="148"/>
      <c r="I14" s="138"/>
      <c r="J14" s="138"/>
      <c r="K14" s="138"/>
      <c r="L14" s="138"/>
      <c r="M14" s="138"/>
    </row>
    <row r="15" spans="1:13">
      <c r="A15" s="143">
        <v>5</v>
      </c>
      <c r="B15" s="143">
        <v>227</v>
      </c>
      <c r="C15" s="143">
        <v>20.100000000000001</v>
      </c>
      <c r="D15" s="143">
        <v>195</v>
      </c>
      <c r="E15" s="144">
        <v>960</v>
      </c>
      <c r="F15" s="144">
        <v>1155</v>
      </c>
      <c r="G15" s="230"/>
    </row>
    <row r="16" spans="1:13">
      <c r="A16" s="145">
        <v>6</v>
      </c>
      <c r="B16" s="145">
        <v>230</v>
      </c>
      <c r="C16" s="145">
        <v>19.399999999999999</v>
      </c>
      <c r="D16" s="145">
        <v>198</v>
      </c>
      <c r="E16" s="146">
        <v>959</v>
      </c>
      <c r="F16" s="146">
        <v>1157</v>
      </c>
      <c r="G16" s="230"/>
    </row>
    <row r="17" spans="1:7">
      <c r="A17" s="143">
        <v>7</v>
      </c>
      <c r="B17" s="143">
        <v>232</v>
      </c>
      <c r="C17" s="143">
        <v>18.7</v>
      </c>
      <c r="D17" s="143">
        <v>200</v>
      </c>
      <c r="E17" s="144">
        <v>957</v>
      </c>
      <c r="F17" s="144">
        <v>1157</v>
      </c>
      <c r="G17" s="230"/>
    </row>
    <row r="18" spans="1:7">
      <c r="A18" s="145">
        <v>8</v>
      </c>
      <c r="B18" s="145">
        <v>233</v>
      </c>
      <c r="C18" s="145">
        <v>18.399999999999999</v>
      </c>
      <c r="D18" s="145">
        <v>201</v>
      </c>
      <c r="E18" s="146">
        <v>956</v>
      </c>
      <c r="F18" s="146">
        <v>1157</v>
      </c>
      <c r="G18" s="230"/>
    </row>
    <row r="19" spans="1:7">
      <c r="A19" s="143">
        <v>9</v>
      </c>
      <c r="B19" s="143">
        <v>237</v>
      </c>
      <c r="C19" s="143">
        <v>17.100000000000001</v>
      </c>
      <c r="D19" s="143">
        <v>205</v>
      </c>
      <c r="E19" s="144">
        <v>954</v>
      </c>
      <c r="F19" s="144">
        <v>1159</v>
      </c>
      <c r="G19" s="230"/>
    </row>
    <row r="20" spans="1:7">
      <c r="A20" s="145">
        <v>10</v>
      </c>
      <c r="B20" s="145">
        <v>239</v>
      </c>
      <c r="C20" s="145">
        <v>16.5</v>
      </c>
      <c r="D20" s="145">
        <v>207</v>
      </c>
      <c r="E20" s="146">
        <v>953</v>
      </c>
      <c r="F20" s="146">
        <v>1160</v>
      </c>
      <c r="G20" s="230"/>
    </row>
    <row r="21" spans="1:7">
      <c r="A21" s="143">
        <v>12</v>
      </c>
      <c r="B21" s="143">
        <v>244</v>
      </c>
      <c r="C21" s="143">
        <v>15.3</v>
      </c>
      <c r="D21" s="143">
        <v>212</v>
      </c>
      <c r="E21" s="144">
        <v>949</v>
      </c>
      <c r="F21" s="144">
        <v>1161</v>
      </c>
      <c r="G21" s="230"/>
    </row>
    <row r="22" spans="1:7">
      <c r="A22" s="145">
        <v>14</v>
      </c>
      <c r="B22" s="145">
        <v>248</v>
      </c>
      <c r="C22" s="145">
        <v>14.3</v>
      </c>
      <c r="D22" s="145">
        <v>216</v>
      </c>
      <c r="E22" s="146">
        <v>947</v>
      </c>
      <c r="F22" s="146">
        <v>1163</v>
      </c>
      <c r="G22" s="230"/>
    </row>
    <row r="23" spans="1:7">
      <c r="A23" s="143">
        <v>16</v>
      </c>
      <c r="B23" s="143">
        <v>252</v>
      </c>
      <c r="C23" s="143">
        <v>13.4</v>
      </c>
      <c r="D23" s="143">
        <v>220</v>
      </c>
      <c r="E23" s="144">
        <v>944</v>
      </c>
      <c r="F23" s="144">
        <v>1164</v>
      </c>
      <c r="G23" s="230"/>
    </row>
    <row r="24" spans="1:7">
      <c r="A24" s="145">
        <v>18</v>
      </c>
      <c r="B24" s="145">
        <v>256</v>
      </c>
      <c r="C24" s="145">
        <v>12.6</v>
      </c>
      <c r="D24" s="145">
        <v>224</v>
      </c>
      <c r="E24" s="146">
        <v>941</v>
      </c>
      <c r="F24" s="146">
        <v>1165</v>
      </c>
      <c r="G24" s="230"/>
    </row>
    <row r="25" spans="1:7">
      <c r="A25" s="143">
        <v>20</v>
      </c>
      <c r="B25" s="143">
        <v>259</v>
      </c>
      <c r="C25" s="143">
        <v>11.9</v>
      </c>
      <c r="D25" s="143">
        <v>227</v>
      </c>
      <c r="E25" s="144">
        <v>939</v>
      </c>
      <c r="F25" s="144">
        <v>1166</v>
      </c>
      <c r="G25" s="230"/>
    </row>
    <row r="26" spans="1:7">
      <c r="A26" s="145">
        <v>22</v>
      </c>
      <c r="B26" s="145">
        <v>262</v>
      </c>
      <c r="C26" s="145">
        <v>11.3</v>
      </c>
      <c r="D26" s="145">
        <v>230</v>
      </c>
      <c r="E26" s="146">
        <v>937</v>
      </c>
      <c r="F26" s="146">
        <v>1167</v>
      </c>
      <c r="G26" s="230"/>
    </row>
    <row r="27" spans="1:7">
      <c r="A27" s="143">
        <v>24</v>
      </c>
      <c r="B27" s="143">
        <v>265</v>
      </c>
      <c r="C27" s="143">
        <v>10.8</v>
      </c>
      <c r="D27" s="143">
        <v>233</v>
      </c>
      <c r="E27" s="144">
        <v>934</v>
      </c>
      <c r="F27" s="144">
        <v>1167</v>
      </c>
      <c r="G27" s="230"/>
    </row>
    <row r="28" spans="1:7">
      <c r="A28" s="145">
        <v>26</v>
      </c>
      <c r="B28" s="145">
        <v>268</v>
      </c>
      <c r="C28" s="145">
        <v>10.3</v>
      </c>
      <c r="D28" s="145">
        <v>236</v>
      </c>
      <c r="E28" s="146">
        <v>933</v>
      </c>
      <c r="F28" s="146">
        <v>1169</v>
      </c>
      <c r="G28" s="230"/>
    </row>
    <row r="29" spans="1:7">
      <c r="A29" s="143">
        <v>28</v>
      </c>
      <c r="B29" s="143">
        <v>271</v>
      </c>
      <c r="C29" s="143">
        <v>9.85</v>
      </c>
      <c r="D29" s="143">
        <v>239</v>
      </c>
      <c r="E29" s="144">
        <v>930</v>
      </c>
      <c r="F29" s="144">
        <v>1169</v>
      </c>
      <c r="G29" s="230"/>
    </row>
    <row r="30" spans="1:7">
      <c r="A30" s="145">
        <v>30</v>
      </c>
      <c r="B30" s="145">
        <v>274</v>
      </c>
      <c r="C30" s="145">
        <v>9.4600000000000009</v>
      </c>
      <c r="D30" s="145">
        <v>243</v>
      </c>
      <c r="E30" s="146">
        <v>929</v>
      </c>
      <c r="F30" s="146">
        <v>1172</v>
      </c>
      <c r="G30" s="230"/>
    </row>
    <row r="31" spans="1:7">
      <c r="A31" s="143">
        <v>32</v>
      </c>
      <c r="B31" s="143">
        <v>277</v>
      </c>
      <c r="C31" s="143">
        <v>9.1</v>
      </c>
      <c r="D31" s="143">
        <v>246</v>
      </c>
      <c r="E31" s="144">
        <v>927</v>
      </c>
      <c r="F31" s="144">
        <v>1173</v>
      </c>
      <c r="G31" s="230"/>
    </row>
    <row r="32" spans="1:7">
      <c r="A32" s="145">
        <v>34</v>
      </c>
      <c r="B32" s="145">
        <v>279</v>
      </c>
      <c r="C32" s="145">
        <v>8.75</v>
      </c>
      <c r="D32" s="145">
        <v>248</v>
      </c>
      <c r="E32" s="146">
        <v>925</v>
      </c>
      <c r="F32" s="146">
        <v>1173</v>
      </c>
      <c r="G32" s="230"/>
    </row>
    <row r="33" spans="1:7">
      <c r="A33" s="143">
        <v>36</v>
      </c>
      <c r="B33" s="143">
        <v>282</v>
      </c>
      <c r="C33" s="143">
        <v>8.42</v>
      </c>
      <c r="D33" s="143">
        <v>251</v>
      </c>
      <c r="E33" s="144">
        <v>923</v>
      </c>
      <c r="F33" s="144">
        <v>1174</v>
      </c>
      <c r="G33" s="230"/>
    </row>
    <row r="34" spans="1:7">
      <c r="A34" s="145">
        <v>38</v>
      </c>
      <c r="B34" s="145">
        <v>284</v>
      </c>
      <c r="C34" s="145">
        <v>8.08</v>
      </c>
      <c r="D34" s="145">
        <v>253</v>
      </c>
      <c r="E34" s="146">
        <v>922</v>
      </c>
      <c r="F34" s="146">
        <v>1175</v>
      </c>
      <c r="G34" s="230"/>
    </row>
    <row r="35" spans="1:7">
      <c r="A35" s="143">
        <v>40</v>
      </c>
      <c r="B35" s="143">
        <v>286</v>
      </c>
      <c r="C35" s="143">
        <v>7.82</v>
      </c>
      <c r="D35" s="143">
        <v>256</v>
      </c>
      <c r="E35" s="144">
        <v>920</v>
      </c>
      <c r="F35" s="144">
        <v>1176</v>
      </c>
      <c r="G35" s="230"/>
    </row>
    <row r="36" spans="1:7">
      <c r="A36" s="145">
        <v>42</v>
      </c>
      <c r="B36" s="145">
        <v>289</v>
      </c>
      <c r="C36" s="145">
        <v>7.57</v>
      </c>
      <c r="D36" s="145">
        <v>258</v>
      </c>
      <c r="E36" s="146">
        <v>918</v>
      </c>
      <c r="F36" s="146">
        <v>1176</v>
      </c>
      <c r="G36" s="230"/>
    </row>
    <row r="37" spans="1:7">
      <c r="A37" s="143">
        <v>44</v>
      </c>
      <c r="B37" s="143">
        <v>291</v>
      </c>
      <c r="C37" s="143">
        <v>7.31</v>
      </c>
      <c r="D37" s="143">
        <v>260</v>
      </c>
      <c r="E37" s="144">
        <v>917</v>
      </c>
      <c r="F37" s="144">
        <v>1177</v>
      </c>
      <c r="G37" s="230"/>
    </row>
    <row r="38" spans="1:7">
      <c r="A38" s="141">
        <v>46</v>
      </c>
      <c r="B38" s="141">
        <v>293</v>
      </c>
      <c r="C38" s="141">
        <v>7.14</v>
      </c>
      <c r="D38" s="141">
        <v>262</v>
      </c>
      <c r="E38" s="142">
        <v>915</v>
      </c>
      <c r="F38" s="142">
        <v>1177</v>
      </c>
      <c r="G38" s="230"/>
    </row>
    <row r="39" spans="1:7">
      <c r="A39" s="143">
        <v>48</v>
      </c>
      <c r="B39" s="143">
        <v>295</v>
      </c>
      <c r="C39" s="143">
        <v>6.94</v>
      </c>
      <c r="D39" s="143">
        <v>264</v>
      </c>
      <c r="E39" s="144">
        <v>914</v>
      </c>
      <c r="F39" s="144">
        <v>1178</v>
      </c>
      <c r="G39" s="230"/>
    </row>
    <row r="40" spans="1:7">
      <c r="A40" s="141">
        <v>50</v>
      </c>
      <c r="B40" s="141">
        <v>298</v>
      </c>
      <c r="C40" s="141">
        <v>6.68</v>
      </c>
      <c r="D40" s="141">
        <v>267</v>
      </c>
      <c r="E40" s="142">
        <v>912</v>
      </c>
      <c r="F40" s="142">
        <v>1179</v>
      </c>
      <c r="G40" s="230"/>
    </row>
    <row r="41" spans="1:7">
      <c r="A41" s="143">
        <v>55</v>
      </c>
      <c r="B41" s="143">
        <v>300</v>
      </c>
      <c r="C41" s="143">
        <v>6.27</v>
      </c>
      <c r="D41" s="143">
        <v>271</v>
      </c>
      <c r="E41" s="144">
        <v>909</v>
      </c>
      <c r="F41" s="144">
        <v>1180</v>
      </c>
      <c r="G41" s="230"/>
    </row>
    <row r="42" spans="1:7">
      <c r="A42" s="145">
        <v>60</v>
      </c>
      <c r="B42" s="145">
        <v>307</v>
      </c>
      <c r="C42" s="145">
        <v>5.84</v>
      </c>
      <c r="D42" s="145">
        <v>277</v>
      </c>
      <c r="E42" s="146">
        <v>906</v>
      </c>
      <c r="F42" s="146">
        <v>1183</v>
      </c>
      <c r="G42" s="230"/>
    </row>
    <row r="43" spans="1:7">
      <c r="A43" s="143">
        <v>65</v>
      </c>
      <c r="B43" s="143">
        <v>312</v>
      </c>
      <c r="C43" s="143">
        <v>5.49</v>
      </c>
      <c r="D43" s="143">
        <v>282</v>
      </c>
      <c r="E43" s="144">
        <v>901</v>
      </c>
      <c r="F43" s="144">
        <v>1183</v>
      </c>
      <c r="G43" s="230"/>
    </row>
    <row r="44" spans="1:7">
      <c r="A44" s="145">
        <v>70</v>
      </c>
      <c r="B44" s="145">
        <v>316</v>
      </c>
      <c r="C44" s="145">
        <v>5.18</v>
      </c>
      <c r="D44" s="145">
        <v>286</v>
      </c>
      <c r="E44" s="146">
        <v>898</v>
      </c>
      <c r="F44" s="146">
        <v>1184</v>
      </c>
      <c r="G44" s="230"/>
    </row>
    <row r="45" spans="1:7">
      <c r="A45" s="143">
        <v>75</v>
      </c>
      <c r="B45" s="143">
        <v>320</v>
      </c>
      <c r="C45" s="143">
        <v>4.91</v>
      </c>
      <c r="D45" s="143">
        <v>290</v>
      </c>
      <c r="E45" s="144">
        <v>895</v>
      </c>
      <c r="F45" s="144">
        <v>1185</v>
      </c>
      <c r="G45" s="230"/>
    </row>
    <row r="46" spans="1:7">
      <c r="A46" s="145">
        <v>80</v>
      </c>
      <c r="B46" s="145">
        <v>324</v>
      </c>
      <c r="C46" s="145">
        <v>4.67</v>
      </c>
      <c r="D46" s="145">
        <v>294</v>
      </c>
      <c r="E46" s="146">
        <v>891</v>
      </c>
      <c r="F46" s="146">
        <v>1185</v>
      </c>
      <c r="G46" s="230"/>
    </row>
    <row r="47" spans="1:7">
      <c r="A47" s="143">
        <v>85</v>
      </c>
      <c r="B47" s="143">
        <v>328</v>
      </c>
      <c r="C47" s="143">
        <v>4.4400000000000004</v>
      </c>
      <c r="D47" s="143">
        <v>298</v>
      </c>
      <c r="E47" s="144">
        <v>889</v>
      </c>
      <c r="F47" s="144">
        <v>1187</v>
      </c>
      <c r="G47" s="230"/>
    </row>
    <row r="48" spans="1:7">
      <c r="A48" s="145">
        <v>90</v>
      </c>
      <c r="B48" s="145">
        <v>331</v>
      </c>
      <c r="C48" s="145">
        <v>4.24</v>
      </c>
      <c r="D48" s="145">
        <v>302</v>
      </c>
      <c r="E48" s="146">
        <v>886</v>
      </c>
      <c r="F48" s="146">
        <v>1188</v>
      </c>
      <c r="G48" s="230"/>
    </row>
    <row r="49" spans="1:7">
      <c r="A49" s="143">
        <v>95</v>
      </c>
      <c r="B49" s="143">
        <v>335</v>
      </c>
      <c r="C49" s="143">
        <v>4.05</v>
      </c>
      <c r="D49" s="143">
        <v>305</v>
      </c>
      <c r="E49" s="144">
        <v>883</v>
      </c>
      <c r="F49" s="144">
        <v>1188</v>
      </c>
      <c r="G49" s="230"/>
    </row>
    <row r="50" spans="1:7">
      <c r="A50" s="145">
        <v>100</v>
      </c>
      <c r="B50" s="145">
        <v>338</v>
      </c>
      <c r="C50" s="145">
        <v>3.89</v>
      </c>
      <c r="D50" s="145">
        <v>309</v>
      </c>
      <c r="E50" s="146">
        <v>880</v>
      </c>
      <c r="F50" s="146">
        <v>1189</v>
      </c>
      <c r="G50" s="230"/>
    </row>
    <row r="51" spans="1:7">
      <c r="A51" s="143">
        <v>105</v>
      </c>
      <c r="B51" s="143">
        <v>341</v>
      </c>
      <c r="C51" s="143">
        <v>3.74</v>
      </c>
      <c r="D51" s="143">
        <v>312</v>
      </c>
      <c r="E51" s="144">
        <v>878</v>
      </c>
      <c r="F51" s="144">
        <v>1190</v>
      </c>
      <c r="G51" s="230"/>
    </row>
    <row r="52" spans="1:7">
      <c r="A52" s="145">
        <v>110</v>
      </c>
      <c r="B52" s="145">
        <v>344</v>
      </c>
      <c r="C52" s="145">
        <v>3.59</v>
      </c>
      <c r="D52" s="145">
        <v>316</v>
      </c>
      <c r="E52" s="146">
        <v>875</v>
      </c>
      <c r="F52" s="146">
        <v>1191</v>
      </c>
      <c r="G52" s="230"/>
    </row>
    <row r="53" spans="1:7">
      <c r="A53" s="143">
        <v>115</v>
      </c>
      <c r="B53" s="143">
        <v>347</v>
      </c>
      <c r="C53" s="143">
        <v>3.46</v>
      </c>
      <c r="D53" s="143">
        <v>319</v>
      </c>
      <c r="E53" s="144">
        <v>873</v>
      </c>
      <c r="F53" s="144">
        <v>1192</v>
      </c>
      <c r="G53" s="230"/>
    </row>
    <row r="54" spans="1:7">
      <c r="A54" s="145">
        <v>120</v>
      </c>
      <c r="B54" s="145">
        <v>350</v>
      </c>
      <c r="C54" s="145">
        <v>3.34</v>
      </c>
      <c r="D54" s="145">
        <v>322</v>
      </c>
      <c r="E54" s="146">
        <v>871</v>
      </c>
      <c r="F54" s="146">
        <v>1193</v>
      </c>
      <c r="G54" s="230"/>
    </row>
    <row r="55" spans="1:7">
      <c r="A55" s="143">
        <v>125</v>
      </c>
      <c r="B55" s="143">
        <v>353</v>
      </c>
      <c r="C55" s="143">
        <v>3.23</v>
      </c>
      <c r="D55" s="143">
        <v>325</v>
      </c>
      <c r="E55" s="144">
        <v>868</v>
      </c>
      <c r="F55" s="144">
        <v>1193</v>
      </c>
      <c r="G55" s="230"/>
    </row>
    <row r="56" spans="1:7">
      <c r="A56" s="145">
        <v>130</v>
      </c>
      <c r="B56" s="145">
        <v>356</v>
      </c>
      <c r="C56" s="145">
        <v>3.12</v>
      </c>
      <c r="D56" s="145">
        <v>328</v>
      </c>
      <c r="E56" s="146">
        <v>866</v>
      </c>
      <c r="F56" s="146">
        <v>1194</v>
      </c>
      <c r="G56" s="230"/>
    </row>
    <row r="57" spans="1:7">
      <c r="A57" s="143">
        <v>135</v>
      </c>
      <c r="B57" s="143">
        <v>358</v>
      </c>
      <c r="C57" s="143">
        <v>3.02</v>
      </c>
      <c r="D57" s="143">
        <v>330</v>
      </c>
      <c r="E57" s="144">
        <v>864</v>
      </c>
      <c r="F57" s="144">
        <v>1194</v>
      </c>
      <c r="G57" s="230"/>
    </row>
    <row r="58" spans="1:7">
      <c r="A58" s="145">
        <v>140</v>
      </c>
      <c r="B58" s="145">
        <v>361</v>
      </c>
      <c r="C58" s="145">
        <v>2.92</v>
      </c>
      <c r="D58" s="145">
        <v>333</v>
      </c>
      <c r="E58" s="146">
        <v>861</v>
      </c>
      <c r="F58" s="146">
        <v>1194</v>
      </c>
      <c r="G58" s="230"/>
    </row>
    <row r="59" spans="1:7">
      <c r="A59" s="143">
        <v>145</v>
      </c>
      <c r="B59" s="143">
        <v>363</v>
      </c>
      <c r="C59" s="143">
        <v>2.84</v>
      </c>
      <c r="D59" s="143">
        <v>336</v>
      </c>
      <c r="E59" s="144">
        <v>859</v>
      </c>
      <c r="F59" s="144">
        <v>1195</v>
      </c>
      <c r="G59" s="230"/>
    </row>
    <row r="60" spans="1:7">
      <c r="A60" s="145">
        <v>150</v>
      </c>
      <c r="B60" s="145">
        <v>366</v>
      </c>
      <c r="C60" s="145">
        <v>2.74</v>
      </c>
      <c r="D60" s="145">
        <v>339</v>
      </c>
      <c r="E60" s="146">
        <v>857</v>
      </c>
      <c r="F60" s="146">
        <v>1196</v>
      </c>
      <c r="G60" s="230"/>
    </row>
    <row r="61" spans="1:7">
      <c r="A61" s="143">
        <v>155</v>
      </c>
      <c r="B61" s="143">
        <v>368</v>
      </c>
      <c r="C61" s="143">
        <v>2.68</v>
      </c>
      <c r="D61" s="143">
        <v>341</v>
      </c>
      <c r="E61" s="144">
        <v>855</v>
      </c>
      <c r="F61" s="144">
        <v>1196</v>
      </c>
      <c r="G61" s="230"/>
    </row>
    <row r="62" spans="1:7">
      <c r="A62" s="145">
        <v>160</v>
      </c>
      <c r="B62" s="145">
        <v>371</v>
      </c>
      <c r="C62" s="145">
        <v>2.6</v>
      </c>
      <c r="D62" s="145">
        <v>344</v>
      </c>
      <c r="E62" s="146">
        <v>853</v>
      </c>
      <c r="F62" s="146">
        <v>1197</v>
      </c>
      <c r="G62" s="230"/>
    </row>
    <row r="63" spans="1:7">
      <c r="A63" s="143">
        <v>165</v>
      </c>
      <c r="B63" s="143">
        <v>373</v>
      </c>
      <c r="C63" s="143">
        <v>2.54</v>
      </c>
      <c r="D63" s="143">
        <v>346</v>
      </c>
      <c r="E63" s="144">
        <v>851</v>
      </c>
      <c r="F63" s="144">
        <v>1197</v>
      </c>
      <c r="G63" s="230"/>
    </row>
    <row r="64" spans="1:7">
      <c r="A64" s="145">
        <v>170</v>
      </c>
      <c r="B64" s="145">
        <v>375</v>
      </c>
      <c r="C64" s="145">
        <v>2.4700000000000002</v>
      </c>
      <c r="D64" s="145">
        <v>348</v>
      </c>
      <c r="E64" s="146">
        <v>849</v>
      </c>
      <c r="F64" s="146">
        <v>1197</v>
      </c>
      <c r="G64" s="230"/>
    </row>
    <row r="65" spans="1:7">
      <c r="A65" s="143">
        <v>175</v>
      </c>
      <c r="B65" s="143">
        <v>377</v>
      </c>
      <c r="C65" s="143">
        <v>2.41</v>
      </c>
      <c r="D65" s="143">
        <v>351</v>
      </c>
      <c r="E65" s="144">
        <v>847</v>
      </c>
      <c r="F65" s="144">
        <v>1198</v>
      </c>
      <c r="G65" s="230"/>
    </row>
    <row r="66" spans="1:7">
      <c r="A66" s="145">
        <v>180</v>
      </c>
      <c r="B66" s="145">
        <v>380</v>
      </c>
      <c r="C66" s="145">
        <v>2.31</v>
      </c>
      <c r="D66" s="145">
        <v>353</v>
      </c>
      <c r="E66" s="146">
        <v>845</v>
      </c>
      <c r="F66" s="146">
        <v>1198</v>
      </c>
      <c r="G66" s="230"/>
    </row>
    <row r="67" spans="1:7">
      <c r="A67" s="143">
        <v>185</v>
      </c>
      <c r="B67" s="143">
        <v>382</v>
      </c>
      <c r="C67" s="143">
        <v>2.29</v>
      </c>
      <c r="D67" s="143">
        <v>355</v>
      </c>
      <c r="E67" s="144">
        <v>843</v>
      </c>
      <c r="F67" s="144">
        <v>1198</v>
      </c>
      <c r="G67" s="230"/>
    </row>
    <row r="68" spans="1:7">
      <c r="A68" s="145">
        <v>190</v>
      </c>
      <c r="B68" s="145">
        <v>384</v>
      </c>
      <c r="C68" s="145">
        <v>2.2400000000000002</v>
      </c>
      <c r="D68" s="145">
        <v>358</v>
      </c>
      <c r="E68" s="146">
        <v>841</v>
      </c>
      <c r="F68" s="146">
        <v>1199</v>
      </c>
      <c r="G68" s="230"/>
    </row>
    <row r="69" spans="1:7">
      <c r="A69" s="143">
        <v>195</v>
      </c>
      <c r="B69" s="143">
        <v>386</v>
      </c>
      <c r="C69" s="143">
        <v>2.19</v>
      </c>
      <c r="D69" s="143">
        <v>360</v>
      </c>
      <c r="E69" s="144">
        <v>839</v>
      </c>
      <c r="F69" s="144">
        <v>1199</v>
      </c>
      <c r="G69" s="230"/>
    </row>
    <row r="70" spans="1:7">
      <c r="A70" s="141">
        <v>200</v>
      </c>
      <c r="B70" s="141">
        <v>388</v>
      </c>
      <c r="C70" s="141">
        <v>2.14</v>
      </c>
      <c r="D70" s="141">
        <v>362</v>
      </c>
      <c r="E70" s="142">
        <v>837</v>
      </c>
      <c r="F70" s="142">
        <v>1199</v>
      </c>
      <c r="G70" s="230"/>
    </row>
    <row r="71" spans="1:7">
      <c r="A71" s="143">
        <v>205</v>
      </c>
      <c r="B71" s="143">
        <v>390</v>
      </c>
      <c r="C71" s="143">
        <v>2.09</v>
      </c>
      <c r="D71" s="143">
        <v>364</v>
      </c>
      <c r="E71" s="144">
        <v>836</v>
      </c>
      <c r="F71" s="144">
        <v>1200</v>
      </c>
      <c r="G71" s="230"/>
    </row>
    <row r="72" spans="1:7">
      <c r="A72" s="141">
        <v>210</v>
      </c>
      <c r="B72" s="141">
        <v>392</v>
      </c>
      <c r="C72" s="141">
        <v>2.0499999999999998</v>
      </c>
      <c r="D72" s="141">
        <v>366</v>
      </c>
      <c r="E72" s="142">
        <v>834</v>
      </c>
      <c r="F72" s="142">
        <v>1200</v>
      </c>
      <c r="G72" s="230"/>
    </row>
    <row r="73" spans="1:7">
      <c r="A73" s="143">
        <v>215</v>
      </c>
      <c r="B73" s="143">
        <v>394</v>
      </c>
      <c r="C73" s="143">
        <v>2</v>
      </c>
      <c r="D73" s="143">
        <v>368</v>
      </c>
      <c r="E73" s="144">
        <v>832</v>
      </c>
      <c r="F73" s="144">
        <v>1200</v>
      </c>
      <c r="G73" s="230"/>
    </row>
    <row r="74" spans="1:7">
      <c r="A74" s="145">
        <v>220</v>
      </c>
      <c r="B74" s="145">
        <v>396</v>
      </c>
      <c r="C74" s="145">
        <v>1.96</v>
      </c>
      <c r="D74" s="145">
        <v>370</v>
      </c>
      <c r="E74" s="146">
        <v>830</v>
      </c>
      <c r="F74" s="146">
        <v>1200</v>
      </c>
      <c r="G74" s="230"/>
    </row>
    <row r="75" spans="1:7">
      <c r="A75" s="143">
        <v>225</v>
      </c>
      <c r="B75" s="143">
        <v>397</v>
      </c>
      <c r="C75" s="143">
        <v>1.92</v>
      </c>
      <c r="D75" s="143">
        <v>372</v>
      </c>
      <c r="E75" s="144">
        <v>828</v>
      </c>
      <c r="F75" s="144">
        <v>1200</v>
      </c>
      <c r="G75" s="230"/>
    </row>
    <row r="76" spans="1:7">
      <c r="A76" s="145">
        <v>230</v>
      </c>
      <c r="B76" s="145">
        <v>399</v>
      </c>
      <c r="C76" s="145">
        <v>1.89</v>
      </c>
      <c r="D76" s="145">
        <v>374</v>
      </c>
      <c r="E76" s="146">
        <v>827</v>
      </c>
      <c r="F76" s="146">
        <v>1201</v>
      </c>
      <c r="G76" s="230"/>
    </row>
    <row r="77" spans="1:7">
      <c r="A77" s="143">
        <v>235</v>
      </c>
      <c r="B77" s="143">
        <v>401</v>
      </c>
      <c r="C77" s="143">
        <v>1.85</v>
      </c>
      <c r="D77" s="143">
        <v>376</v>
      </c>
      <c r="E77" s="144">
        <v>825</v>
      </c>
      <c r="F77" s="144">
        <v>1201</v>
      </c>
      <c r="G77" s="230"/>
    </row>
    <row r="78" spans="1:7">
      <c r="A78" s="145">
        <v>240</v>
      </c>
      <c r="B78" s="145">
        <v>403</v>
      </c>
      <c r="C78" s="145">
        <v>1.81</v>
      </c>
      <c r="D78" s="145">
        <v>378</v>
      </c>
      <c r="E78" s="146">
        <v>823</v>
      </c>
      <c r="F78" s="146">
        <v>1201</v>
      </c>
      <c r="G78" s="230"/>
    </row>
    <row r="79" spans="1:7">
      <c r="A79" s="143">
        <v>245</v>
      </c>
      <c r="B79" s="143">
        <v>404</v>
      </c>
      <c r="C79" s="143">
        <v>1.78</v>
      </c>
      <c r="D79" s="143">
        <v>380</v>
      </c>
      <c r="E79" s="144">
        <v>822</v>
      </c>
      <c r="F79" s="144">
        <v>1202</v>
      </c>
      <c r="G79" s="230"/>
    </row>
    <row r="80" spans="1:7">
      <c r="A80" s="145">
        <v>250</v>
      </c>
      <c r="B80" s="145">
        <v>406</v>
      </c>
      <c r="C80" s="145">
        <v>1.75</v>
      </c>
      <c r="D80" s="145">
        <v>382</v>
      </c>
      <c r="E80" s="146">
        <v>820</v>
      </c>
      <c r="F80" s="146">
        <v>1202</v>
      </c>
      <c r="G80" s="230"/>
    </row>
    <row r="81" spans="1:7">
      <c r="A81" s="143">
        <v>255</v>
      </c>
      <c r="B81" s="143">
        <v>408</v>
      </c>
      <c r="C81" s="143">
        <v>1.72</v>
      </c>
      <c r="D81" s="143">
        <v>383</v>
      </c>
      <c r="E81" s="144">
        <v>819</v>
      </c>
      <c r="F81" s="144">
        <v>1202</v>
      </c>
      <c r="G81" s="230"/>
    </row>
    <row r="82" spans="1:7">
      <c r="A82" s="145">
        <v>260</v>
      </c>
      <c r="B82" s="145">
        <v>409</v>
      </c>
      <c r="C82" s="145">
        <v>1.69</v>
      </c>
      <c r="D82" s="145">
        <v>385</v>
      </c>
      <c r="E82" s="146">
        <v>817</v>
      </c>
      <c r="F82" s="146">
        <v>1202</v>
      </c>
      <c r="G82" s="230"/>
    </row>
    <row r="83" spans="1:7">
      <c r="A83" s="143">
        <v>265</v>
      </c>
      <c r="B83" s="143">
        <v>411</v>
      </c>
      <c r="C83" s="143">
        <v>1.66</v>
      </c>
      <c r="D83" s="143">
        <v>387</v>
      </c>
      <c r="E83" s="144">
        <v>815</v>
      </c>
      <c r="F83" s="144">
        <v>1202</v>
      </c>
      <c r="G83" s="230"/>
    </row>
    <row r="84" spans="1:7">
      <c r="A84" s="145">
        <v>270</v>
      </c>
      <c r="B84" s="145">
        <v>413</v>
      </c>
      <c r="C84" s="145">
        <v>1.63</v>
      </c>
      <c r="D84" s="145">
        <v>389</v>
      </c>
      <c r="E84" s="146">
        <v>814</v>
      </c>
      <c r="F84" s="146">
        <v>1203</v>
      </c>
      <c r="G84" s="230"/>
    </row>
    <row r="85" spans="1:7">
      <c r="A85" s="143">
        <v>275</v>
      </c>
      <c r="B85" s="143">
        <v>414</v>
      </c>
      <c r="C85" s="143">
        <v>1.6</v>
      </c>
      <c r="D85" s="143">
        <v>391</v>
      </c>
      <c r="E85" s="144">
        <v>812</v>
      </c>
      <c r="F85" s="144">
        <v>1203</v>
      </c>
      <c r="G85" s="230"/>
    </row>
    <row r="86" spans="1:7">
      <c r="A86" s="145">
        <v>280</v>
      </c>
      <c r="B86" s="145">
        <v>416</v>
      </c>
      <c r="C86" s="145">
        <v>1.57</v>
      </c>
      <c r="D86" s="145">
        <v>392</v>
      </c>
      <c r="E86" s="146">
        <v>811</v>
      </c>
      <c r="F86" s="146">
        <v>1203</v>
      </c>
      <c r="G86" s="230"/>
    </row>
    <row r="87" spans="1:7">
      <c r="A87" s="143">
        <v>285</v>
      </c>
      <c r="B87" s="143">
        <v>417</v>
      </c>
      <c r="C87" s="143">
        <v>1.55</v>
      </c>
      <c r="D87" s="143">
        <v>394</v>
      </c>
      <c r="E87" s="144">
        <v>809</v>
      </c>
      <c r="F87" s="144">
        <v>1203</v>
      </c>
      <c r="G87" s="230"/>
    </row>
    <row r="88" spans="1:7">
      <c r="A88" s="145">
        <v>290</v>
      </c>
      <c r="B88" s="145">
        <v>418</v>
      </c>
      <c r="C88" s="145">
        <v>1.53</v>
      </c>
      <c r="D88" s="145">
        <v>395</v>
      </c>
      <c r="E88" s="146">
        <v>808</v>
      </c>
      <c r="F88" s="146">
        <v>1203</v>
      </c>
      <c r="G88" s="230"/>
    </row>
    <row r="89" spans="1:7">
      <c r="A89" s="143">
        <v>295</v>
      </c>
      <c r="B89" s="143">
        <v>420</v>
      </c>
      <c r="C89" s="143">
        <v>1.49</v>
      </c>
      <c r="D89" s="143">
        <v>397</v>
      </c>
      <c r="E89" s="144">
        <v>806</v>
      </c>
      <c r="F89" s="144">
        <v>1203</v>
      </c>
      <c r="G89" s="230"/>
    </row>
    <row r="90" spans="1:7">
      <c r="A90" s="145">
        <v>300</v>
      </c>
      <c r="B90" s="145">
        <v>421</v>
      </c>
      <c r="C90" s="145">
        <v>1.47</v>
      </c>
      <c r="D90" s="145">
        <v>398</v>
      </c>
      <c r="E90" s="146">
        <v>805</v>
      </c>
      <c r="F90" s="146">
        <v>1203</v>
      </c>
      <c r="G90" s="230"/>
    </row>
    <row r="91" spans="1:7">
      <c r="A91" s="143">
        <v>305</v>
      </c>
      <c r="B91" s="143">
        <v>423</v>
      </c>
      <c r="C91" s="143">
        <v>1.45</v>
      </c>
      <c r="D91" s="143">
        <v>400</v>
      </c>
      <c r="E91" s="144">
        <v>803</v>
      </c>
      <c r="F91" s="144">
        <v>1203</v>
      </c>
      <c r="G91" s="230"/>
    </row>
    <row r="92" spans="1:7">
      <c r="A92" s="145">
        <v>310</v>
      </c>
      <c r="B92" s="145">
        <v>425</v>
      </c>
      <c r="C92" s="145">
        <v>1.43</v>
      </c>
      <c r="D92" s="145">
        <v>402</v>
      </c>
      <c r="E92" s="146">
        <v>802</v>
      </c>
      <c r="F92" s="146">
        <v>1204</v>
      </c>
      <c r="G92" s="230"/>
    </row>
    <row r="93" spans="1:7">
      <c r="A93" s="143">
        <v>315</v>
      </c>
      <c r="B93" s="143">
        <v>426</v>
      </c>
      <c r="C93" s="143">
        <v>1.41</v>
      </c>
      <c r="D93" s="143">
        <v>404</v>
      </c>
      <c r="E93" s="144">
        <v>800</v>
      </c>
      <c r="F93" s="144">
        <v>1204</v>
      </c>
      <c r="G93" s="230"/>
    </row>
    <row r="94" spans="1:7">
      <c r="A94" s="145">
        <v>320</v>
      </c>
      <c r="B94" s="145">
        <v>427</v>
      </c>
      <c r="C94" s="145">
        <v>1.38</v>
      </c>
      <c r="D94" s="145">
        <v>405</v>
      </c>
      <c r="E94" s="146">
        <v>799</v>
      </c>
      <c r="F94" s="146">
        <v>1204</v>
      </c>
      <c r="G94" s="230"/>
    </row>
    <row r="95" spans="1:7">
      <c r="A95" s="143">
        <v>325</v>
      </c>
      <c r="B95" s="143">
        <v>429</v>
      </c>
      <c r="C95" s="143">
        <v>1.36</v>
      </c>
      <c r="D95" s="143">
        <v>407</v>
      </c>
      <c r="E95" s="144">
        <v>797</v>
      </c>
      <c r="F95" s="144">
        <v>1204</v>
      </c>
      <c r="G95" s="230"/>
    </row>
    <row r="96" spans="1:7">
      <c r="A96" s="145">
        <v>330</v>
      </c>
      <c r="B96" s="145">
        <v>430</v>
      </c>
      <c r="C96" s="145">
        <v>1.34</v>
      </c>
      <c r="D96" s="145">
        <v>408</v>
      </c>
      <c r="E96" s="146">
        <v>796</v>
      </c>
      <c r="F96" s="146">
        <v>1204</v>
      </c>
      <c r="G96" s="230"/>
    </row>
    <row r="97" spans="1:7">
      <c r="A97" s="143">
        <v>335</v>
      </c>
      <c r="B97" s="143">
        <v>432</v>
      </c>
      <c r="C97" s="143">
        <v>1.33</v>
      </c>
      <c r="D97" s="143">
        <v>410</v>
      </c>
      <c r="E97" s="144">
        <v>794</v>
      </c>
      <c r="F97" s="144">
        <v>1204</v>
      </c>
      <c r="G97" s="230"/>
    </row>
    <row r="98" spans="1:7">
      <c r="A98" s="145">
        <v>340</v>
      </c>
      <c r="B98" s="145">
        <v>433</v>
      </c>
      <c r="C98" s="145">
        <v>1.31</v>
      </c>
      <c r="D98" s="145">
        <v>411</v>
      </c>
      <c r="E98" s="146">
        <v>793</v>
      </c>
      <c r="F98" s="146">
        <v>1204</v>
      </c>
      <c r="G98" s="230"/>
    </row>
    <row r="99" spans="1:7">
      <c r="A99" s="143">
        <v>345</v>
      </c>
      <c r="B99" s="143">
        <v>434</v>
      </c>
      <c r="C99" s="143">
        <v>1.29</v>
      </c>
      <c r="D99" s="143">
        <v>413</v>
      </c>
      <c r="E99" s="144">
        <v>791</v>
      </c>
      <c r="F99" s="144">
        <v>1204</v>
      </c>
      <c r="G99" s="230"/>
    </row>
    <row r="100" spans="1:7">
      <c r="A100" s="145">
        <v>350</v>
      </c>
      <c r="B100" s="145">
        <v>435</v>
      </c>
      <c r="C100" s="145">
        <v>1.28</v>
      </c>
      <c r="D100" s="145">
        <v>414</v>
      </c>
      <c r="E100" s="146">
        <v>790</v>
      </c>
      <c r="F100" s="146">
        <v>1204</v>
      </c>
      <c r="G100" s="230"/>
    </row>
    <row r="101" spans="1:7">
      <c r="A101" s="143">
        <v>355</v>
      </c>
      <c r="B101" s="143">
        <v>437</v>
      </c>
      <c r="C101" s="143">
        <v>1.26</v>
      </c>
      <c r="D101" s="143">
        <v>416</v>
      </c>
      <c r="E101" s="144">
        <v>789</v>
      </c>
      <c r="F101" s="144">
        <v>1205</v>
      </c>
      <c r="G101" s="230"/>
    </row>
    <row r="102" spans="1:7">
      <c r="A102" s="141">
        <v>360</v>
      </c>
      <c r="B102" s="141">
        <v>438</v>
      </c>
      <c r="C102" s="141">
        <v>1.24</v>
      </c>
      <c r="D102" s="141">
        <v>417</v>
      </c>
      <c r="E102" s="142">
        <v>788</v>
      </c>
      <c r="F102" s="142">
        <v>1205</v>
      </c>
      <c r="G102" s="230"/>
    </row>
    <row r="103" spans="1:7">
      <c r="A103" s="143">
        <v>365</v>
      </c>
      <c r="B103" s="143">
        <v>440</v>
      </c>
      <c r="C103" s="143">
        <v>1.22</v>
      </c>
      <c r="D103" s="143">
        <v>419</v>
      </c>
      <c r="E103" s="144">
        <v>786</v>
      </c>
      <c r="F103" s="144">
        <v>1205</v>
      </c>
      <c r="G103" s="230"/>
    </row>
    <row r="104" spans="1:7">
      <c r="A104" s="141">
        <v>370</v>
      </c>
      <c r="B104" s="141">
        <v>441</v>
      </c>
      <c r="C104" s="141">
        <v>1.2</v>
      </c>
      <c r="D104" s="141">
        <v>420</v>
      </c>
      <c r="E104" s="142">
        <v>785</v>
      </c>
      <c r="F104" s="142">
        <v>1205</v>
      </c>
      <c r="G104" s="230"/>
    </row>
    <row r="105" spans="1:7">
      <c r="A105" s="143">
        <v>375</v>
      </c>
      <c r="B105" s="143">
        <v>442</v>
      </c>
      <c r="C105" s="143">
        <v>1.19</v>
      </c>
      <c r="D105" s="143">
        <v>421</v>
      </c>
      <c r="E105" s="144">
        <v>784</v>
      </c>
      <c r="F105" s="144">
        <v>1205</v>
      </c>
      <c r="G105" s="230"/>
    </row>
    <row r="106" spans="1:7">
      <c r="A106" s="145">
        <v>380</v>
      </c>
      <c r="B106" s="145">
        <v>443</v>
      </c>
      <c r="C106" s="145">
        <v>1.18</v>
      </c>
      <c r="D106" s="145">
        <v>422</v>
      </c>
      <c r="E106" s="146">
        <v>783</v>
      </c>
      <c r="F106" s="146">
        <v>1205</v>
      </c>
      <c r="G106" s="230"/>
    </row>
    <row r="107" spans="1:7">
      <c r="A107" s="143">
        <v>385</v>
      </c>
      <c r="B107" s="143">
        <v>445</v>
      </c>
      <c r="C107" s="143">
        <v>1.1599999999999999</v>
      </c>
      <c r="D107" s="143">
        <v>424</v>
      </c>
      <c r="E107" s="144">
        <v>781</v>
      </c>
      <c r="F107" s="144">
        <v>1205</v>
      </c>
      <c r="G107" s="230"/>
    </row>
    <row r="108" spans="1:7">
      <c r="A108" s="145">
        <v>390</v>
      </c>
      <c r="B108" s="145">
        <v>446</v>
      </c>
      <c r="C108" s="145">
        <v>1.1399999999999999</v>
      </c>
      <c r="D108" s="145">
        <v>425</v>
      </c>
      <c r="E108" s="146">
        <v>780</v>
      </c>
      <c r="F108" s="146">
        <v>1205</v>
      </c>
      <c r="G108" s="230"/>
    </row>
    <row r="109" spans="1:7">
      <c r="A109" s="143">
        <v>395</v>
      </c>
      <c r="B109" s="143">
        <v>447</v>
      </c>
      <c r="C109" s="143">
        <v>1.1299999999999999</v>
      </c>
      <c r="D109" s="143">
        <v>427</v>
      </c>
      <c r="E109" s="144">
        <v>778</v>
      </c>
      <c r="F109" s="144">
        <v>1205</v>
      </c>
      <c r="G109" s="230"/>
    </row>
    <row r="110" spans="1:7">
      <c r="A110" s="145">
        <v>400</v>
      </c>
      <c r="B110" s="145">
        <v>448</v>
      </c>
      <c r="C110" s="145">
        <v>1.1200000000000001</v>
      </c>
      <c r="D110" s="145">
        <v>428</v>
      </c>
      <c r="E110" s="146">
        <v>777</v>
      </c>
      <c r="F110" s="146">
        <v>1205</v>
      </c>
      <c r="G110" s="230"/>
    </row>
    <row r="111" spans="1:7">
      <c r="A111" s="143">
        <v>450</v>
      </c>
      <c r="B111" s="143">
        <v>460</v>
      </c>
      <c r="C111" s="143">
        <v>1</v>
      </c>
      <c r="D111" s="143">
        <v>439</v>
      </c>
      <c r="E111" s="144">
        <v>766</v>
      </c>
      <c r="F111" s="144">
        <v>1205</v>
      </c>
      <c r="G111" s="230"/>
    </row>
    <row r="112" spans="1:7">
      <c r="A112" s="145">
        <v>500</v>
      </c>
      <c r="B112" s="145">
        <v>470</v>
      </c>
      <c r="C112" s="145">
        <v>0.89</v>
      </c>
      <c r="D112" s="145">
        <v>453</v>
      </c>
      <c r="E112" s="146">
        <v>751</v>
      </c>
      <c r="F112" s="146">
        <v>1204</v>
      </c>
      <c r="G112" s="230"/>
    </row>
    <row r="113" spans="1:7">
      <c r="A113" s="143">
        <v>550</v>
      </c>
      <c r="B113" s="143">
        <v>479</v>
      </c>
      <c r="C113" s="143">
        <v>0.82</v>
      </c>
      <c r="D113" s="143">
        <v>464</v>
      </c>
      <c r="E113" s="144">
        <v>740</v>
      </c>
      <c r="F113" s="144">
        <v>1204</v>
      </c>
      <c r="G113" s="230"/>
    </row>
    <row r="114" spans="1:7">
      <c r="A114" s="145">
        <v>600</v>
      </c>
      <c r="B114" s="145">
        <v>489</v>
      </c>
      <c r="C114" s="145">
        <v>0.74</v>
      </c>
      <c r="D114" s="145">
        <v>475</v>
      </c>
      <c r="E114" s="146">
        <v>728</v>
      </c>
      <c r="F114" s="146">
        <v>1203</v>
      </c>
      <c r="G114" s="230"/>
    </row>
    <row r="115" spans="1:7">
      <c r="A115" s="143">
        <v>650</v>
      </c>
      <c r="B115" s="143">
        <v>497</v>
      </c>
      <c r="C115" s="143">
        <v>0.69</v>
      </c>
      <c r="D115" s="143">
        <v>483</v>
      </c>
      <c r="E115" s="144">
        <v>719</v>
      </c>
      <c r="F115" s="144">
        <v>1202</v>
      </c>
      <c r="G115" s="230"/>
    </row>
    <row r="116" spans="1:7">
      <c r="A116" s="145">
        <v>700</v>
      </c>
      <c r="B116" s="145">
        <v>505</v>
      </c>
      <c r="C116" s="145">
        <v>0.64</v>
      </c>
      <c r="D116" s="145">
        <v>491</v>
      </c>
      <c r="E116" s="146">
        <v>710</v>
      </c>
      <c r="F116" s="146">
        <v>1201</v>
      </c>
      <c r="G116" s="230"/>
    </row>
    <row r="117" spans="1:7">
      <c r="A117" s="143">
        <v>750</v>
      </c>
      <c r="B117" s="143">
        <v>513</v>
      </c>
      <c r="C117" s="143">
        <v>0.6</v>
      </c>
      <c r="D117" s="143">
        <v>504</v>
      </c>
      <c r="E117" s="144">
        <v>696</v>
      </c>
      <c r="F117" s="144">
        <v>1200</v>
      </c>
      <c r="G117" s="230"/>
    </row>
    <row r="118" spans="1:7">
      <c r="A118" s="145">
        <v>800</v>
      </c>
      <c r="B118" s="145">
        <v>520</v>
      </c>
      <c r="C118" s="145">
        <v>0.56000000000000005</v>
      </c>
      <c r="D118" s="145">
        <v>512</v>
      </c>
      <c r="E118" s="146">
        <v>686</v>
      </c>
      <c r="F118" s="146">
        <v>1198</v>
      </c>
      <c r="G118" s="230"/>
    </row>
    <row r="119" spans="1:7">
      <c r="A119" s="143">
        <v>900</v>
      </c>
      <c r="B119" s="143">
        <v>534</v>
      </c>
      <c r="C119" s="143">
        <v>0.49</v>
      </c>
      <c r="D119" s="143">
        <v>529</v>
      </c>
      <c r="E119" s="144">
        <v>666</v>
      </c>
      <c r="F119" s="144">
        <v>1195</v>
      </c>
      <c r="G119" s="230"/>
    </row>
    <row r="120" spans="1:7">
      <c r="A120" s="145">
        <v>1000</v>
      </c>
      <c r="B120" s="145">
        <v>546</v>
      </c>
      <c r="C120" s="145">
        <v>0.44</v>
      </c>
      <c r="D120" s="145">
        <v>544</v>
      </c>
      <c r="E120" s="146">
        <v>647</v>
      </c>
      <c r="F120" s="146">
        <v>1191</v>
      </c>
      <c r="G120" s="230"/>
    </row>
    <row r="121" spans="1:7">
      <c r="A121" s="143">
        <v>1250</v>
      </c>
      <c r="B121" s="143">
        <v>574</v>
      </c>
      <c r="C121" s="143">
        <v>0.34</v>
      </c>
      <c r="D121" s="143">
        <v>580</v>
      </c>
      <c r="E121" s="144">
        <v>600</v>
      </c>
      <c r="F121" s="144">
        <v>1180</v>
      </c>
      <c r="G121" s="230"/>
    </row>
    <row r="122" spans="1:7">
      <c r="A122" s="145">
        <v>1500</v>
      </c>
      <c r="B122" s="145">
        <v>597</v>
      </c>
      <c r="C122" s="145">
        <v>0.23</v>
      </c>
      <c r="D122" s="145">
        <v>610</v>
      </c>
      <c r="E122" s="146">
        <v>557</v>
      </c>
      <c r="F122" s="146">
        <v>1167</v>
      </c>
      <c r="G122" s="230"/>
    </row>
    <row r="123" spans="1:7">
      <c r="A123" s="143">
        <v>1750</v>
      </c>
      <c r="B123" s="143">
        <v>618</v>
      </c>
      <c r="C123" s="143">
        <v>0.22</v>
      </c>
      <c r="D123" s="143">
        <v>642</v>
      </c>
      <c r="E123" s="144">
        <v>509</v>
      </c>
      <c r="F123" s="144">
        <v>1151</v>
      </c>
      <c r="G123" s="230"/>
    </row>
    <row r="124" spans="1:7">
      <c r="A124" s="145">
        <v>2000</v>
      </c>
      <c r="B124" s="145">
        <v>636</v>
      </c>
      <c r="C124" s="145">
        <v>0.19</v>
      </c>
      <c r="D124" s="145">
        <v>672</v>
      </c>
      <c r="E124" s="146">
        <v>462</v>
      </c>
      <c r="F124" s="146">
        <v>1134</v>
      </c>
      <c r="G124" s="230"/>
    </row>
    <row r="125" spans="1:7">
      <c r="A125" s="143">
        <v>2250</v>
      </c>
      <c r="B125" s="143">
        <v>654</v>
      </c>
      <c r="C125" s="143">
        <v>0.16</v>
      </c>
      <c r="D125" s="143">
        <v>701</v>
      </c>
      <c r="E125" s="144">
        <v>413</v>
      </c>
      <c r="F125" s="144">
        <v>1114</v>
      </c>
      <c r="G125" s="230"/>
    </row>
    <row r="126" spans="1:7">
      <c r="A126" s="145">
        <v>2500</v>
      </c>
      <c r="B126" s="145">
        <v>669</v>
      </c>
      <c r="C126" s="145">
        <v>0.13</v>
      </c>
      <c r="D126" s="145">
        <v>733</v>
      </c>
      <c r="E126" s="146">
        <v>358</v>
      </c>
      <c r="F126" s="146">
        <v>1091</v>
      </c>
      <c r="G126" s="230"/>
    </row>
    <row r="127" spans="1:7">
      <c r="A127" s="143">
        <v>2750</v>
      </c>
      <c r="B127" s="143">
        <v>683</v>
      </c>
      <c r="C127" s="143">
        <v>0.11</v>
      </c>
      <c r="D127" s="143">
        <v>764</v>
      </c>
      <c r="E127" s="144">
        <v>295</v>
      </c>
      <c r="F127" s="144">
        <v>1059</v>
      </c>
      <c r="G127" s="230"/>
    </row>
    <row r="128" spans="1:7">
      <c r="A128" s="145">
        <v>3000</v>
      </c>
      <c r="B128" s="145">
        <v>696</v>
      </c>
      <c r="C128" s="145">
        <v>0.08</v>
      </c>
      <c r="D128" s="145">
        <v>804</v>
      </c>
      <c r="E128" s="146">
        <v>213</v>
      </c>
      <c r="F128" s="146">
        <v>1017</v>
      </c>
      <c r="G128" s="230"/>
    </row>
    <row r="129" spans="1:8">
      <c r="A129" s="147">
        <v>3206.2</v>
      </c>
      <c r="B129" s="147">
        <v>705.4</v>
      </c>
      <c r="C129" s="147" t="s">
        <v>71</v>
      </c>
      <c r="D129" s="147" t="s">
        <v>71</v>
      </c>
      <c r="E129" s="147" t="s">
        <v>71</v>
      </c>
      <c r="F129" s="147" t="s">
        <v>71</v>
      </c>
      <c r="G129" s="227"/>
    </row>
    <row r="130" spans="1:8">
      <c r="A130" s="231"/>
      <c r="B130" s="231"/>
      <c r="C130" s="231"/>
      <c r="D130" s="231"/>
      <c r="E130" s="231"/>
      <c r="F130" s="231"/>
      <c r="G130" s="231"/>
      <c r="H130" s="232"/>
    </row>
    <row r="131" spans="1:8">
      <c r="A131" s="231"/>
      <c r="B131" s="231"/>
      <c r="C131" s="231"/>
      <c r="D131" s="231"/>
      <c r="E131" s="231"/>
      <c r="F131" s="231"/>
      <c r="G131" s="231"/>
      <c r="H131" s="232"/>
    </row>
    <row r="132" spans="1:8">
      <c r="A132" s="231"/>
      <c r="B132" s="231"/>
      <c r="C132" s="231"/>
      <c r="D132" s="231"/>
      <c r="E132" s="231"/>
      <c r="F132" s="231"/>
      <c r="G132" s="231"/>
      <c r="H132" s="232"/>
    </row>
    <row r="133" spans="1:8">
      <c r="A133" s="232"/>
      <c r="B133" s="232"/>
      <c r="C133" s="232"/>
      <c r="D133" s="232"/>
      <c r="E133" s="232"/>
      <c r="F133" s="232"/>
      <c r="G133" s="232"/>
      <c r="H133" s="232"/>
    </row>
    <row r="134" spans="1:8">
      <c r="A134" s="232"/>
      <c r="B134" s="232"/>
      <c r="C134" s="232"/>
      <c r="D134" s="232"/>
      <c r="E134" s="232"/>
      <c r="F134" s="232"/>
      <c r="G134" s="232"/>
      <c r="H134" s="232"/>
    </row>
  </sheetData>
  <sheetProtection password="E0B2" sheet="1" selectLockedCells="1"/>
  <mergeCells count="10">
    <mergeCell ref="H1:M1"/>
    <mergeCell ref="H2:H3"/>
    <mergeCell ref="I2:I3"/>
    <mergeCell ref="J2:J3"/>
    <mergeCell ref="K2:M2"/>
    <mergeCell ref="A1:F1"/>
    <mergeCell ref="D2:F2"/>
    <mergeCell ref="C2:C3"/>
    <mergeCell ref="B2:B3"/>
    <mergeCell ref="A2:A3"/>
  </mergeCells>
  <conditionalFormatting sqref="A5:F129">
    <cfRule type="expression" dxfId="0" priority="1" stopIfTrue="1">
      <formula>$A5=$H$5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44"/>
  <sheetViews>
    <sheetView showGridLines="0" view="pageBreakPreview" zoomScaleNormal="100" zoomScaleSheetLayoutView="100" workbookViewId="0">
      <selection activeCell="Y1" sqref="Y1"/>
    </sheetView>
  </sheetViews>
  <sheetFormatPr defaultRowHeight="15.75" customHeight="1"/>
  <cols>
    <col min="1" max="1" width="13.85546875" style="59" customWidth="1"/>
    <col min="2" max="23" width="2.85546875" style="59" customWidth="1"/>
    <col min="24" max="24" width="13.85546875" style="59" customWidth="1"/>
    <col min="25" max="16384" width="9.140625" style="59"/>
  </cols>
  <sheetData>
    <row r="1" spans="1:24" ht="15.75" customHeight="1">
      <c r="A1" s="234" t="s">
        <v>154</v>
      </c>
      <c r="B1" s="234"/>
      <c r="C1" s="234"/>
      <c r="D1" s="234"/>
      <c r="E1" s="234"/>
      <c r="F1" s="234"/>
      <c r="G1" s="234"/>
      <c r="H1" s="234"/>
      <c r="I1" s="234"/>
      <c r="J1" s="234"/>
      <c r="K1" s="234"/>
      <c r="L1" s="234"/>
      <c r="M1" s="234"/>
      <c r="N1" s="234"/>
      <c r="O1" s="234"/>
      <c r="P1" s="234"/>
      <c r="Q1" s="234"/>
      <c r="R1" s="234"/>
      <c r="S1" s="234"/>
      <c r="T1" s="234"/>
      <c r="U1" s="234"/>
      <c r="V1" s="234"/>
      <c r="W1" s="234"/>
      <c r="X1" s="234"/>
    </row>
    <row r="2" spans="1:24" ht="15.7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row>
    <row r="3" spans="1:24" ht="15.75" customHeight="1">
      <c r="A3" s="387" t="str">
        <f ca="1">"We recommend you have a boiler specialist tune your boiler to 4.0% exhaust O2 and clean your boiler water side heat exchanger surfaces to increase combustion efficiency ."&amp;"  We suggest this be done immediately and then once every year after."&amp;"  We estimate a boiler tune will cost "&amp;TEXT(Calc1!E11,"$###,###")&amp;" per boiler."&amp;"  Annual savings after deducting the annual cost to tune your boiler will be "&amp;TEXT(Calc1!M7,"$###,###")&amp;", paying for the initial implementation cost of the first tuning in "&amp;TEXT(Calc1!M9,"#0.0")&amp;" years."</f>
        <v>We recommend you have a boiler specialist tune your boiler to 4.0% exhaust O2 and clean your boiler water side heat exchanger surfaces to increase combustion efficiency .  We suggest this be done immediately and then once every year after.  We estimate a boiler tune will cost $500 per boiler.  Annual savings after deducting the annual cost to tune your boiler will be $2,534, paying for the initial implementation cost of the first tuning in 0.4 years.</v>
      </c>
      <c r="B3" s="387"/>
      <c r="C3" s="387"/>
      <c r="D3" s="387"/>
      <c r="E3" s="387"/>
      <c r="F3" s="387"/>
      <c r="G3" s="387"/>
      <c r="H3" s="387"/>
      <c r="I3" s="387"/>
      <c r="J3" s="387"/>
      <c r="K3" s="387"/>
      <c r="L3" s="387"/>
      <c r="M3" s="387"/>
      <c r="N3" s="387"/>
      <c r="O3" s="387"/>
      <c r="P3" s="387"/>
      <c r="Q3" s="387"/>
      <c r="R3" s="387"/>
      <c r="S3" s="387"/>
      <c r="T3" s="387"/>
      <c r="U3" s="387"/>
      <c r="V3" s="387"/>
      <c r="W3" s="387"/>
      <c r="X3" s="387"/>
    </row>
    <row r="4" spans="1:24" ht="15.75" customHeight="1">
      <c r="A4" s="387"/>
      <c r="B4" s="387"/>
      <c r="C4" s="387"/>
      <c r="D4" s="387"/>
      <c r="E4" s="387"/>
      <c r="F4" s="387"/>
      <c r="G4" s="387"/>
      <c r="H4" s="387"/>
      <c r="I4" s="387"/>
      <c r="J4" s="387"/>
      <c r="K4" s="387"/>
      <c r="L4" s="387"/>
      <c r="M4" s="387"/>
      <c r="N4" s="387"/>
      <c r="O4" s="387"/>
      <c r="P4" s="387"/>
      <c r="Q4" s="387"/>
      <c r="R4" s="387"/>
      <c r="S4" s="387"/>
      <c r="T4" s="387"/>
      <c r="U4" s="387"/>
      <c r="V4" s="387"/>
      <c r="W4" s="387"/>
      <c r="X4" s="387"/>
    </row>
    <row r="5" spans="1:24" ht="15.75" customHeight="1">
      <c r="A5" s="387"/>
      <c r="B5" s="387"/>
      <c r="C5" s="387"/>
      <c r="D5" s="387"/>
      <c r="E5" s="387"/>
      <c r="F5" s="387"/>
      <c r="G5" s="387"/>
      <c r="H5" s="387"/>
      <c r="I5" s="387"/>
      <c r="J5" s="387"/>
      <c r="K5" s="387"/>
      <c r="L5" s="387"/>
      <c r="M5" s="387"/>
      <c r="N5" s="387"/>
      <c r="O5" s="387"/>
      <c r="P5" s="387"/>
      <c r="Q5" s="387"/>
      <c r="R5" s="387"/>
      <c r="S5" s="387"/>
      <c r="T5" s="387"/>
      <c r="U5" s="387"/>
      <c r="V5" s="387"/>
      <c r="W5" s="387"/>
      <c r="X5" s="387"/>
    </row>
    <row r="6" spans="1:24" ht="15.75" customHeight="1">
      <c r="A6" s="387"/>
      <c r="B6" s="387"/>
      <c r="C6" s="387"/>
      <c r="D6" s="387"/>
      <c r="E6" s="387"/>
      <c r="F6" s="387"/>
      <c r="G6" s="387"/>
      <c r="H6" s="387"/>
      <c r="I6" s="387"/>
      <c r="J6" s="387"/>
      <c r="K6" s="387"/>
      <c r="L6" s="387"/>
      <c r="M6" s="387"/>
      <c r="N6" s="387"/>
      <c r="O6" s="387"/>
      <c r="P6" s="387"/>
      <c r="Q6" s="387"/>
      <c r="R6" s="387"/>
      <c r="S6" s="387"/>
      <c r="T6" s="387"/>
      <c r="U6" s="387"/>
      <c r="V6" s="387"/>
      <c r="W6" s="387"/>
      <c r="X6" s="387"/>
    </row>
    <row r="7" spans="1:24" ht="15.75" customHeight="1">
      <c r="A7" s="387"/>
      <c r="B7" s="387"/>
      <c r="C7" s="387"/>
      <c r="D7" s="387"/>
      <c r="E7" s="387"/>
      <c r="F7" s="387"/>
      <c r="G7" s="387"/>
      <c r="H7" s="387"/>
      <c r="I7" s="387"/>
      <c r="J7" s="387"/>
      <c r="K7" s="387"/>
      <c r="L7" s="387"/>
      <c r="M7" s="387"/>
      <c r="N7" s="387"/>
      <c r="O7" s="387"/>
      <c r="P7" s="387"/>
      <c r="Q7" s="387"/>
      <c r="R7" s="387"/>
      <c r="S7" s="387"/>
      <c r="T7" s="387"/>
      <c r="U7" s="387"/>
      <c r="V7" s="387"/>
      <c r="W7" s="387"/>
      <c r="X7" s="387"/>
    </row>
    <row r="9" spans="1:24" ht="15.75" customHeight="1">
      <c r="A9" s="236"/>
      <c r="B9" s="236"/>
      <c r="C9" s="236"/>
      <c r="D9" s="236"/>
      <c r="E9" s="236"/>
      <c r="F9" s="236"/>
      <c r="G9" s="236"/>
      <c r="H9" s="236"/>
      <c r="I9" s="236"/>
      <c r="J9" s="236"/>
      <c r="K9" s="236"/>
      <c r="L9" s="236"/>
      <c r="M9" s="236"/>
      <c r="N9" s="236"/>
      <c r="O9" s="236"/>
      <c r="P9" s="236"/>
      <c r="Q9" s="236"/>
      <c r="R9" s="236"/>
      <c r="S9" s="236"/>
      <c r="T9" s="236"/>
      <c r="U9" s="236"/>
      <c r="V9" s="236"/>
      <c r="W9" s="236"/>
      <c r="X9" s="236"/>
    </row>
    <row r="10" spans="1:24" ht="15.75" customHeight="1">
      <c r="A10" s="236"/>
      <c r="B10" s="236"/>
      <c r="C10" s="236"/>
      <c r="D10" s="236"/>
      <c r="E10" s="236"/>
      <c r="F10" s="236"/>
      <c r="G10" s="236"/>
      <c r="H10" s="236"/>
      <c r="I10" s="236"/>
      <c r="J10" s="236"/>
      <c r="K10" s="236"/>
      <c r="L10" s="236"/>
      <c r="M10" s="236"/>
      <c r="N10" s="236"/>
      <c r="O10" s="236"/>
      <c r="P10" s="236"/>
      <c r="Q10" s="236"/>
      <c r="R10" s="236"/>
      <c r="S10" s="236"/>
      <c r="T10" s="236"/>
      <c r="U10" s="236"/>
      <c r="V10" s="236"/>
      <c r="W10" s="236"/>
      <c r="X10" s="236"/>
    </row>
    <row r="11" spans="1:24" ht="15.75" customHeight="1">
      <c r="A11" s="237"/>
      <c r="B11" s="237"/>
      <c r="C11" s="237"/>
      <c r="D11" s="237"/>
      <c r="E11" s="237"/>
      <c r="F11" s="237"/>
      <c r="G11" s="237"/>
      <c r="H11" s="237"/>
      <c r="I11" s="237"/>
      <c r="J11" s="237"/>
      <c r="K11" s="237"/>
      <c r="L11" s="237"/>
      <c r="M11" s="237"/>
      <c r="N11" s="237"/>
      <c r="O11" s="237"/>
      <c r="P11" s="237"/>
      <c r="Q11" s="237"/>
      <c r="R11" s="237"/>
      <c r="S11" s="237"/>
      <c r="T11" s="237"/>
      <c r="U11" s="237"/>
      <c r="V11" s="237"/>
      <c r="W11" s="237"/>
      <c r="X11" s="237"/>
    </row>
    <row r="12" spans="1:24" ht="15.75" customHeight="1">
      <c r="A12" s="237"/>
      <c r="B12" s="234"/>
      <c r="C12" s="234"/>
      <c r="D12" s="234"/>
      <c r="E12" s="234"/>
      <c r="F12" s="234"/>
      <c r="G12" s="234"/>
      <c r="H12" s="234"/>
      <c r="I12" s="234"/>
      <c r="J12" s="234"/>
      <c r="K12" s="234"/>
      <c r="L12" s="234"/>
      <c r="M12" s="234"/>
      <c r="N12" s="234"/>
      <c r="O12" s="234"/>
      <c r="P12" s="234"/>
      <c r="Q12" s="234"/>
      <c r="R12" s="234"/>
      <c r="S12" s="234"/>
      <c r="T12" s="234"/>
      <c r="U12" s="234"/>
      <c r="V12" s="234"/>
      <c r="W12" s="234"/>
      <c r="X12" s="237"/>
    </row>
    <row r="13" spans="1:24" ht="15.75" customHeight="1">
      <c r="A13" s="237"/>
      <c r="B13" s="238"/>
      <c r="C13" s="238"/>
      <c r="D13" s="238"/>
      <c r="E13" s="238"/>
      <c r="F13" s="238"/>
      <c r="G13" s="238"/>
      <c r="H13" s="238"/>
      <c r="I13" s="238"/>
      <c r="J13" s="238"/>
      <c r="K13" s="238"/>
      <c r="L13" s="238"/>
      <c r="M13" s="238"/>
      <c r="N13" s="238"/>
      <c r="O13" s="238"/>
      <c r="P13" s="238"/>
      <c r="Q13" s="238"/>
      <c r="R13" s="238"/>
      <c r="S13" s="238"/>
      <c r="T13" s="238"/>
      <c r="U13" s="238"/>
      <c r="V13" s="238"/>
      <c r="W13" s="238"/>
      <c r="X13" s="237"/>
    </row>
    <row r="14" spans="1:24" ht="15.75" customHeight="1">
      <c r="A14" s="237"/>
      <c r="B14" s="238"/>
      <c r="C14" s="238"/>
      <c r="D14" s="238"/>
      <c r="E14" s="238"/>
      <c r="F14" s="238"/>
      <c r="G14" s="238"/>
      <c r="H14" s="238"/>
      <c r="I14" s="238"/>
      <c r="J14" s="238"/>
      <c r="K14" s="238"/>
      <c r="L14" s="238"/>
      <c r="M14" s="238"/>
      <c r="N14" s="238"/>
      <c r="O14" s="238"/>
      <c r="P14" s="238"/>
      <c r="Q14" s="238"/>
      <c r="R14" s="238"/>
      <c r="S14" s="238"/>
      <c r="T14" s="238"/>
      <c r="U14" s="238"/>
      <c r="V14" s="238"/>
      <c r="W14" s="238"/>
      <c r="X14" s="237"/>
    </row>
    <row r="15" spans="1:24" ht="15.75" customHeight="1">
      <c r="A15" s="237"/>
      <c r="B15" s="239"/>
      <c r="C15" s="239"/>
      <c r="D15" s="239"/>
      <c r="E15" s="239"/>
      <c r="F15" s="239"/>
      <c r="G15" s="239"/>
      <c r="H15" s="239"/>
      <c r="I15" s="239"/>
      <c r="J15" s="240"/>
      <c r="K15" s="240"/>
      <c r="L15" s="240"/>
      <c r="M15" s="240"/>
      <c r="N15" s="240"/>
      <c r="O15" s="240"/>
      <c r="P15" s="240"/>
      <c r="Q15" s="240"/>
      <c r="R15" s="240"/>
      <c r="S15" s="240"/>
      <c r="T15" s="241"/>
      <c r="U15" s="241"/>
      <c r="V15" s="241"/>
      <c r="W15" s="241"/>
      <c r="X15" s="237"/>
    </row>
    <row r="16" spans="1:24" ht="15.75" customHeight="1">
      <c r="A16" s="237"/>
      <c r="B16" s="242"/>
      <c r="C16" s="242"/>
      <c r="D16" s="242"/>
      <c r="E16" s="242"/>
      <c r="F16" s="242"/>
      <c r="G16" s="242"/>
      <c r="H16" s="242"/>
      <c r="I16" s="242"/>
      <c r="J16" s="242"/>
      <c r="K16" s="242"/>
      <c r="L16" s="242"/>
      <c r="M16" s="242"/>
      <c r="N16" s="242"/>
      <c r="O16" s="242"/>
      <c r="P16" s="242"/>
      <c r="Q16" s="242"/>
      <c r="R16" s="242"/>
      <c r="S16" s="242"/>
      <c r="T16" s="242"/>
      <c r="U16" s="242"/>
      <c r="V16" s="242"/>
      <c r="W16" s="242"/>
      <c r="X16" s="237"/>
    </row>
    <row r="17" spans="1:24" ht="15.75" customHeight="1">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row>
    <row r="18" spans="1:24" ht="15.75" customHeight="1">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row>
    <row r="19" spans="1:24" ht="15.75" customHeight="1">
      <c r="A19" s="235"/>
      <c r="B19" s="237"/>
      <c r="C19" s="237"/>
      <c r="D19" s="237"/>
      <c r="E19" s="237"/>
      <c r="F19" s="237"/>
      <c r="G19" s="237"/>
      <c r="H19" s="237"/>
      <c r="I19" s="237"/>
      <c r="J19" s="237"/>
      <c r="K19" s="237"/>
      <c r="L19" s="237"/>
      <c r="M19" s="237"/>
      <c r="N19" s="237"/>
      <c r="O19" s="237"/>
      <c r="P19" s="237"/>
      <c r="Q19" s="237"/>
      <c r="R19" s="237"/>
      <c r="S19" s="237"/>
      <c r="T19" s="237"/>
      <c r="U19" s="237"/>
      <c r="V19" s="237"/>
      <c r="W19" s="237"/>
      <c r="X19" s="237"/>
    </row>
    <row r="20" spans="1:24" ht="15.75" customHeight="1">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row>
    <row r="21" spans="1:24" ht="15.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row>
    <row r="22" spans="1:24" ht="15.75" customHeight="1">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row>
    <row r="23" spans="1:24" ht="15.75" customHeight="1">
      <c r="A23" s="236"/>
      <c r="B23" s="405" t="s">
        <v>224</v>
      </c>
      <c r="C23" s="405"/>
      <c r="D23" s="405"/>
      <c r="E23" s="405"/>
      <c r="F23" s="405"/>
      <c r="G23" s="405"/>
      <c r="H23" s="405"/>
      <c r="I23" s="405"/>
      <c r="J23" s="405"/>
      <c r="K23" s="405"/>
      <c r="L23" s="405"/>
      <c r="M23" s="405"/>
      <c r="N23" s="405"/>
      <c r="O23" s="405"/>
      <c r="P23" s="405"/>
      <c r="Q23" s="405"/>
      <c r="R23" s="405"/>
      <c r="S23" s="405"/>
      <c r="T23" s="405"/>
      <c r="U23" s="405"/>
      <c r="V23" s="405"/>
      <c r="W23" s="405"/>
      <c r="X23" s="236"/>
    </row>
    <row r="24" spans="1:24" ht="15.75" customHeight="1">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row>
    <row r="40" spans="1:24" ht="15.75" customHeight="1">
      <c r="A40" s="237"/>
      <c r="B40" s="237"/>
      <c r="C40" s="237"/>
      <c r="D40" s="237"/>
      <c r="E40" s="237"/>
      <c r="F40" s="237"/>
      <c r="G40" s="237"/>
      <c r="H40" s="237"/>
      <c r="I40" s="237"/>
      <c r="J40" s="237"/>
      <c r="K40" s="237"/>
      <c r="L40" s="237"/>
      <c r="M40" s="237"/>
      <c r="N40" s="237"/>
      <c r="O40" s="237"/>
      <c r="P40" s="237"/>
      <c r="Q40" s="237"/>
      <c r="R40" s="237"/>
      <c r="S40" s="237"/>
      <c r="T40" s="237"/>
      <c r="U40" s="237"/>
      <c r="V40" s="237"/>
      <c r="W40" s="237"/>
      <c r="X40" s="237"/>
    </row>
    <row r="41" spans="1:24" ht="15.75" customHeight="1">
      <c r="A41" s="237"/>
      <c r="B41" s="237"/>
      <c r="C41" s="237"/>
      <c r="D41" s="237"/>
      <c r="E41" s="237"/>
      <c r="F41" s="237"/>
      <c r="G41" s="237"/>
      <c r="H41" s="237"/>
      <c r="I41" s="237"/>
      <c r="J41" s="237"/>
      <c r="K41" s="237"/>
      <c r="L41" s="237"/>
      <c r="M41" s="237"/>
      <c r="N41" s="237"/>
      <c r="O41" s="237"/>
      <c r="P41" s="237"/>
      <c r="Q41" s="237"/>
      <c r="R41" s="237"/>
      <c r="S41" s="237"/>
      <c r="T41" s="237"/>
      <c r="U41" s="237"/>
      <c r="V41" s="237"/>
      <c r="W41" s="237"/>
      <c r="X41" s="237"/>
    </row>
    <row r="42" spans="1:24" ht="15.75" customHeight="1">
      <c r="A42" s="237"/>
      <c r="B42" s="237"/>
      <c r="C42" s="237"/>
      <c r="D42" s="237"/>
      <c r="E42" s="237"/>
      <c r="F42" s="237"/>
      <c r="G42" s="237"/>
      <c r="H42" s="237"/>
      <c r="I42" s="237"/>
      <c r="J42" s="237"/>
      <c r="K42" s="237"/>
      <c r="L42" s="237"/>
      <c r="M42" s="237"/>
      <c r="N42" s="237"/>
      <c r="O42" s="237"/>
      <c r="P42" s="237"/>
      <c r="Q42" s="237"/>
      <c r="R42" s="237"/>
      <c r="S42" s="237"/>
      <c r="T42" s="237"/>
      <c r="U42" s="237"/>
      <c r="V42" s="237"/>
      <c r="W42" s="237"/>
      <c r="X42" s="237"/>
    </row>
    <row r="43" spans="1:24" ht="15.75" customHeight="1">
      <c r="A43" s="237"/>
      <c r="B43" s="237"/>
      <c r="C43" s="237"/>
      <c r="D43" s="237"/>
      <c r="E43" s="237"/>
      <c r="F43" s="237"/>
      <c r="G43" s="237"/>
      <c r="H43" s="237"/>
      <c r="I43" s="237"/>
      <c r="J43" s="237"/>
      <c r="K43" s="237"/>
      <c r="L43" s="237"/>
      <c r="M43" s="237"/>
      <c r="N43" s="237"/>
      <c r="O43" s="237"/>
      <c r="P43" s="237"/>
      <c r="Q43" s="237"/>
      <c r="R43" s="237"/>
      <c r="S43" s="237"/>
      <c r="T43" s="237"/>
      <c r="U43" s="237"/>
      <c r="V43" s="237"/>
      <c r="W43" s="237"/>
      <c r="X43" s="237"/>
    </row>
    <row r="44" spans="1:24" ht="15.75" customHeight="1">
      <c r="A44" s="237"/>
      <c r="B44" s="237"/>
      <c r="C44" s="237"/>
      <c r="D44" s="237"/>
      <c r="E44" s="237"/>
      <c r="F44" s="237"/>
      <c r="G44" s="237"/>
      <c r="H44" s="237"/>
      <c r="I44" s="237"/>
      <c r="J44" s="237"/>
      <c r="K44" s="237"/>
      <c r="L44" s="237"/>
      <c r="M44" s="237"/>
      <c r="N44" s="237"/>
      <c r="O44" s="237"/>
      <c r="P44" s="237"/>
      <c r="Q44" s="237"/>
      <c r="R44" s="237"/>
      <c r="S44" s="237"/>
      <c r="T44" s="237"/>
      <c r="U44" s="237"/>
      <c r="V44" s="237"/>
      <c r="W44" s="237"/>
      <c r="X44" s="237"/>
    </row>
  </sheetData>
  <sheetProtection password="E0B2" sheet="1" objects="1" scenarios="1" selectLockedCells="1"/>
  <mergeCells count="2">
    <mergeCell ref="B23:W23"/>
    <mergeCell ref="A3:X7"/>
  </mergeCells>
  <printOptions horizontalCentered="1"/>
  <pageMargins left="0.2" right="0.2"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N57"/>
  <sheetViews>
    <sheetView showGridLines="0" view="pageBreakPreview" zoomScaleNormal="100" zoomScaleSheetLayoutView="100" workbookViewId="0">
      <selection activeCell="K1" sqref="K1"/>
    </sheetView>
  </sheetViews>
  <sheetFormatPr defaultRowHeight="15"/>
  <cols>
    <col min="1" max="1" width="1.28515625" style="320" customWidth="1"/>
    <col min="2" max="2" width="1.42578125" style="320" customWidth="1"/>
    <col min="3" max="3" width="30.7109375" style="320" customWidth="1"/>
    <col min="4" max="4" width="5.85546875" style="320" customWidth="1"/>
    <col min="5" max="5" width="10" style="320" customWidth="1"/>
    <col min="6" max="6" width="7.140625" style="320" customWidth="1"/>
    <col min="7" max="7" width="6.42578125" style="320" customWidth="1"/>
    <col min="8" max="8" width="2.140625" style="320" customWidth="1"/>
    <col min="9" max="9" width="32.140625" style="320" customWidth="1"/>
    <col min="10" max="10" width="1.42578125" style="320" customWidth="1"/>
    <col min="11" max="11" width="2.140625" style="320" customWidth="1"/>
    <col min="12" max="12" width="35.7109375" style="320" customWidth="1"/>
    <col min="13" max="13" width="10" style="320" customWidth="1"/>
    <col min="14" max="16384" width="9.140625" style="320"/>
  </cols>
  <sheetData>
    <row r="1" spans="1:14" s="318" customFormat="1" ht="30" customHeight="1">
      <c r="A1" s="408" t="s">
        <v>125</v>
      </c>
      <c r="B1" s="409"/>
      <c r="C1" s="409"/>
      <c r="D1" s="409"/>
      <c r="E1" s="409"/>
      <c r="F1" s="409"/>
      <c r="G1" s="409"/>
      <c r="H1" s="409"/>
      <c r="I1" s="409"/>
      <c r="J1" s="410"/>
      <c r="K1" s="315"/>
      <c r="L1" s="316"/>
      <c r="M1" s="317"/>
      <c r="N1" s="317"/>
    </row>
    <row r="2" spans="1:14" ht="15" customHeight="1">
      <c r="A2" s="319"/>
      <c r="B2" s="319"/>
      <c r="C2" s="319"/>
      <c r="F2" s="321"/>
      <c r="G2" s="319"/>
      <c r="H2" s="319"/>
      <c r="I2" s="322"/>
      <c r="J2" s="319"/>
      <c r="K2" s="323"/>
      <c r="L2" s="324"/>
      <c r="M2" s="324"/>
      <c r="N2" s="324"/>
    </row>
    <row r="3" spans="1:14" ht="15" customHeight="1">
      <c r="A3" s="319"/>
      <c r="B3" s="325" t="s">
        <v>102</v>
      </c>
      <c r="E3" s="326"/>
      <c r="H3" s="327"/>
      <c r="I3" s="325" t="s">
        <v>105</v>
      </c>
      <c r="K3" s="328"/>
      <c r="L3" s="329" t="s">
        <v>106</v>
      </c>
      <c r="M3" s="330"/>
      <c r="N3" s="330"/>
    </row>
    <row r="4" spans="1:14" ht="15" customHeight="1">
      <c r="A4" s="319"/>
      <c r="B4" s="319"/>
      <c r="C4" s="331" t="s">
        <v>107</v>
      </c>
      <c r="D4" s="332" t="s">
        <v>138</v>
      </c>
      <c r="E4" s="244">
        <f>Calc2!C28</f>
        <v>7269</v>
      </c>
      <c r="F4" s="321" t="s">
        <v>126</v>
      </c>
      <c r="G4" s="333" t="s">
        <v>108</v>
      </c>
      <c r="H4" s="327"/>
      <c r="I4" s="334" t="s">
        <v>135</v>
      </c>
      <c r="J4" s="335"/>
      <c r="K4" s="336"/>
      <c r="L4" s="337" t="s">
        <v>155</v>
      </c>
      <c r="M4" s="243">
        <f ca="1">E6/E4</f>
        <v>3.24142791736848E-2</v>
      </c>
      <c r="N4" s="330"/>
    </row>
    <row r="5" spans="1:14" ht="15" customHeight="1">
      <c r="A5" s="319"/>
      <c r="B5" s="319"/>
      <c r="C5" s="338" t="s">
        <v>109</v>
      </c>
      <c r="D5" s="332" t="s">
        <v>139</v>
      </c>
      <c r="E5" s="245">
        <f ca="1">Calc2!G28</f>
        <v>7033.3806046864847</v>
      </c>
      <c r="F5" s="321" t="s">
        <v>126</v>
      </c>
      <c r="G5" s="333" t="s">
        <v>108</v>
      </c>
      <c r="H5" s="327"/>
      <c r="I5" s="339"/>
      <c r="J5" s="340"/>
      <c r="K5" s="341"/>
      <c r="L5" s="337" t="s">
        <v>156</v>
      </c>
      <c r="M5" s="115">
        <f ca="1">E6</f>
        <v>235.61939531351481</v>
      </c>
      <c r="N5" s="330"/>
    </row>
    <row r="6" spans="1:14" ht="15" customHeight="1">
      <c r="A6" s="319"/>
      <c r="B6" s="319"/>
      <c r="C6" s="338" t="s">
        <v>110</v>
      </c>
      <c r="D6" s="332" t="s">
        <v>111</v>
      </c>
      <c r="E6" s="246">
        <f ca="1">Calc2!K28</f>
        <v>235.61939531351481</v>
      </c>
      <c r="F6" s="321" t="s">
        <v>126</v>
      </c>
      <c r="G6" s="333" t="s">
        <v>112</v>
      </c>
      <c r="H6" s="327"/>
      <c r="I6" s="342"/>
      <c r="J6" s="340"/>
      <c r="K6" s="328"/>
      <c r="L6" s="337" t="s">
        <v>157</v>
      </c>
      <c r="M6" s="117">
        <f ca="1">E6*10</f>
        <v>2356.1939531351481</v>
      </c>
      <c r="N6" s="330"/>
    </row>
    <row r="7" spans="1:14" ht="15" customHeight="1">
      <c r="A7" s="319"/>
      <c r="B7" s="319"/>
      <c r="H7" s="327"/>
      <c r="I7" s="334" t="s">
        <v>136</v>
      </c>
      <c r="J7" s="340"/>
      <c r="K7" s="336"/>
      <c r="L7" s="337" t="s">
        <v>158</v>
      </c>
      <c r="M7" s="116">
        <f ca="1">E14</f>
        <v>2534.290929702729</v>
      </c>
      <c r="N7" s="330"/>
    </row>
    <row r="8" spans="1:14" ht="15" customHeight="1">
      <c r="A8" s="319"/>
      <c r="B8" s="325" t="s">
        <v>133</v>
      </c>
      <c r="C8" s="343"/>
      <c r="D8" s="332"/>
      <c r="E8" s="344"/>
      <c r="F8" s="321"/>
      <c r="G8" s="333"/>
      <c r="H8" s="327"/>
      <c r="I8" s="339"/>
      <c r="J8" s="340"/>
      <c r="K8" s="328"/>
      <c r="L8" s="337" t="s">
        <v>159</v>
      </c>
      <c r="M8" s="116">
        <f ca="1">E15</f>
        <v>1000</v>
      </c>
      <c r="N8" s="330"/>
    </row>
    <row r="9" spans="1:14" ht="15" customHeight="1">
      <c r="A9" s="319"/>
      <c r="B9" s="345" t="s">
        <v>128</v>
      </c>
      <c r="C9" s="346"/>
      <c r="D9" s="347"/>
      <c r="E9" s="342"/>
      <c r="F9" s="342"/>
      <c r="G9" s="342"/>
      <c r="H9" s="327"/>
      <c r="I9" s="342"/>
      <c r="J9" s="340"/>
      <c r="K9" s="341"/>
      <c r="L9" s="337" t="s">
        <v>148</v>
      </c>
      <c r="M9" s="117">
        <f ca="1">E16</f>
        <v>0.39458768852449766</v>
      </c>
      <c r="N9" s="330"/>
    </row>
    <row r="10" spans="1:14" ht="15" customHeight="1">
      <c r="A10" s="319"/>
      <c r="B10" s="346"/>
      <c r="C10" s="348" t="s">
        <v>129</v>
      </c>
      <c r="D10" s="349" t="s">
        <v>130</v>
      </c>
      <c r="E10" s="111">
        <f ca="1">COUNT(Calc2!K6:'Calc2'!K13)</f>
        <v>2</v>
      </c>
      <c r="F10" s="342"/>
      <c r="G10" s="350"/>
      <c r="H10" s="327"/>
      <c r="I10" s="334" t="s">
        <v>137</v>
      </c>
      <c r="J10" s="340"/>
      <c r="K10" s="328"/>
      <c r="N10" s="330"/>
    </row>
    <row r="11" spans="1:14" ht="15" customHeight="1">
      <c r="A11" s="319"/>
      <c r="B11" s="346"/>
      <c r="C11" s="348" t="s">
        <v>131</v>
      </c>
      <c r="D11" s="349" t="s">
        <v>132</v>
      </c>
      <c r="E11" s="112">
        <v>500</v>
      </c>
      <c r="F11" s="342"/>
      <c r="G11" s="350" t="s">
        <v>141</v>
      </c>
      <c r="H11" s="327"/>
      <c r="I11" s="334"/>
      <c r="J11" s="340"/>
      <c r="K11" s="336"/>
      <c r="L11" s="351" t="s">
        <v>229</v>
      </c>
      <c r="M11" s="330"/>
      <c r="N11" s="324"/>
    </row>
    <row r="12" spans="1:14" ht="15" customHeight="1">
      <c r="A12" s="319"/>
      <c r="B12" s="325"/>
      <c r="D12" s="332"/>
      <c r="E12" s="352"/>
      <c r="F12" s="353"/>
      <c r="G12" s="354"/>
      <c r="H12" s="327"/>
      <c r="J12" s="340"/>
      <c r="L12" s="406" t="s">
        <v>230</v>
      </c>
      <c r="M12" s="406"/>
      <c r="N12" s="355"/>
    </row>
    <row r="13" spans="1:14" ht="15" customHeight="1">
      <c r="A13" s="319"/>
      <c r="B13" s="325" t="s">
        <v>114</v>
      </c>
      <c r="C13" s="356"/>
      <c r="D13" s="357"/>
      <c r="E13" s="358"/>
      <c r="F13" s="359"/>
      <c r="G13" s="356"/>
      <c r="J13" s="335"/>
      <c r="K13" s="360"/>
      <c r="L13" s="406"/>
      <c r="M13" s="406"/>
      <c r="N13" s="355"/>
    </row>
    <row r="14" spans="1:14" ht="15" customHeight="1">
      <c r="A14" s="319"/>
      <c r="C14" s="319" t="s">
        <v>115</v>
      </c>
      <c r="D14" s="361" t="s">
        <v>116</v>
      </c>
      <c r="E14" s="113">
        <f ca="1">Calc2!K41-E10*E11</f>
        <v>2534.290929702729</v>
      </c>
      <c r="F14" s="359"/>
      <c r="G14" s="333" t="s">
        <v>113</v>
      </c>
      <c r="H14" s="362"/>
      <c r="I14" s="363" t="s">
        <v>119</v>
      </c>
      <c r="J14" s="364"/>
      <c r="L14" s="406"/>
      <c r="M14" s="406"/>
      <c r="N14" s="355"/>
    </row>
    <row r="15" spans="1:14" ht="15" customHeight="1">
      <c r="A15" s="319"/>
      <c r="C15" s="319" t="s">
        <v>117</v>
      </c>
      <c r="D15" s="361" t="s">
        <v>118</v>
      </c>
      <c r="E15" s="113">
        <f ca="1">E10*E11</f>
        <v>1000</v>
      </c>
      <c r="F15" s="359"/>
      <c r="G15" s="333" t="s">
        <v>134</v>
      </c>
      <c r="H15" s="319"/>
      <c r="I15" s="413" t="s">
        <v>127</v>
      </c>
      <c r="J15" s="366"/>
      <c r="L15" s="407" t="s">
        <v>231</v>
      </c>
      <c r="M15" s="407"/>
      <c r="N15" s="367"/>
    </row>
    <row r="16" spans="1:14" ht="15" customHeight="1">
      <c r="A16" s="319"/>
      <c r="C16" s="319" t="s">
        <v>120</v>
      </c>
      <c r="D16" s="361" t="s">
        <v>121</v>
      </c>
      <c r="E16" s="114">
        <f ca="1">E15/E14</f>
        <v>0.39458768852449766</v>
      </c>
      <c r="F16" s="359" t="s">
        <v>122</v>
      </c>
      <c r="G16" s="333"/>
      <c r="H16" s="319"/>
      <c r="I16" s="413"/>
      <c r="J16" s="366"/>
      <c r="K16" s="360"/>
      <c r="L16" s="407"/>
      <c r="M16" s="407"/>
      <c r="N16" s="367"/>
    </row>
    <row r="17" spans="1:14" ht="15" customHeight="1">
      <c r="A17" s="319"/>
      <c r="B17" s="319"/>
      <c r="C17" s="356"/>
      <c r="D17" s="357"/>
      <c r="E17" s="358"/>
      <c r="F17" s="359"/>
      <c r="G17" s="356"/>
      <c r="H17" s="319"/>
      <c r="I17" s="413"/>
      <c r="J17" s="335"/>
      <c r="L17" s="407"/>
      <c r="M17" s="407"/>
      <c r="N17" s="367"/>
    </row>
    <row r="18" spans="1:14" ht="15" customHeight="1">
      <c r="A18" s="319"/>
      <c r="B18" s="368" t="s">
        <v>142</v>
      </c>
      <c r="H18" s="319"/>
      <c r="I18" s="369"/>
      <c r="J18" s="364"/>
      <c r="L18" s="407"/>
      <c r="M18" s="407"/>
      <c r="N18" s="367"/>
    </row>
    <row r="19" spans="1:14" ht="15" customHeight="1">
      <c r="A19" s="319"/>
      <c r="B19" s="414" t="s">
        <v>140</v>
      </c>
      <c r="C19" s="414"/>
      <c r="D19" s="414"/>
      <c r="E19" s="414"/>
      <c r="F19" s="414"/>
      <c r="G19" s="414"/>
      <c r="H19" s="319"/>
      <c r="I19" s="369"/>
      <c r="J19" s="364"/>
      <c r="K19" s="360"/>
      <c r="L19" s="407"/>
      <c r="M19" s="407"/>
      <c r="N19" s="367"/>
    </row>
    <row r="20" spans="1:14" ht="15" customHeight="1">
      <c r="A20" s="319"/>
      <c r="B20" s="414"/>
      <c r="C20" s="414"/>
      <c r="D20" s="414"/>
      <c r="E20" s="414"/>
      <c r="F20" s="414"/>
      <c r="G20" s="414"/>
      <c r="H20" s="319"/>
      <c r="J20" s="364"/>
      <c r="L20" s="407"/>
      <c r="M20" s="407"/>
      <c r="N20" s="367"/>
    </row>
    <row r="21" spans="1:14" ht="15" customHeight="1">
      <c r="A21" s="319"/>
      <c r="H21" s="319"/>
      <c r="J21" s="370"/>
      <c r="L21" s="370"/>
      <c r="M21" s="367"/>
      <c r="N21" s="367"/>
    </row>
    <row r="22" spans="1:14" ht="15" customHeight="1">
      <c r="A22" s="319"/>
      <c r="H22" s="319"/>
      <c r="J22" s="370"/>
      <c r="L22" s="370"/>
      <c r="M22" s="371"/>
      <c r="N22" s="367"/>
    </row>
    <row r="23" spans="1:14" ht="15" customHeight="1">
      <c r="A23" s="319"/>
      <c r="J23" s="411"/>
      <c r="K23" s="411"/>
      <c r="L23" s="366"/>
      <c r="M23" s="371"/>
      <c r="N23" s="367"/>
    </row>
    <row r="24" spans="1:14" ht="15" customHeight="1">
      <c r="A24" s="319"/>
      <c r="J24" s="412"/>
      <c r="K24" s="412"/>
      <c r="L24" s="366"/>
      <c r="M24" s="371"/>
      <c r="N24" s="367"/>
    </row>
    <row r="25" spans="1:14" ht="15" customHeight="1">
      <c r="A25" s="319"/>
      <c r="H25" s="372"/>
      <c r="J25" s="364"/>
      <c r="L25" s="366"/>
      <c r="M25" s="371"/>
      <c r="N25" s="367"/>
    </row>
    <row r="26" spans="1:14" ht="15" customHeight="1">
      <c r="A26" s="319"/>
      <c r="H26" s="372"/>
      <c r="J26" s="370"/>
      <c r="M26" s="371"/>
      <c r="N26" s="367"/>
    </row>
    <row r="27" spans="1:14" ht="15" customHeight="1">
      <c r="A27" s="325"/>
      <c r="H27" s="372"/>
      <c r="I27" s="373"/>
      <c r="J27" s="364"/>
      <c r="L27" s="370"/>
      <c r="M27" s="367"/>
      <c r="N27" s="367"/>
    </row>
    <row r="28" spans="1:14" ht="15" customHeight="1">
      <c r="A28" s="319"/>
      <c r="H28" s="372"/>
      <c r="L28" s="370"/>
      <c r="M28" s="367"/>
      <c r="N28" s="374"/>
    </row>
    <row r="29" spans="1:14" ht="15" customHeight="1">
      <c r="A29" s="319"/>
      <c r="H29" s="375"/>
      <c r="J29" s="376"/>
      <c r="K29" s="376"/>
      <c r="L29" s="370"/>
      <c r="M29" s="367"/>
      <c r="N29" s="376"/>
    </row>
    <row r="30" spans="1:14" ht="15" customHeight="1">
      <c r="A30" s="319"/>
      <c r="H30" s="375"/>
      <c r="J30" s="376"/>
      <c r="K30" s="376"/>
      <c r="M30" s="372"/>
      <c r="N30" s="377"/>
    </row>
    <row r="31" spans="1:14" ht="15" customHeight="1">
      <c r="A31" s="319"/>
      <c r="J31" s="370"/>
      <c r="L31" s="376"/>
      <c r="M31" s="376"/>
      <c r="N31" s="377"/>
    </row>
    <row r="32" spans="1:14" ht="15" customHeight="1">
      <c r="A32" s="378"/>
      <c r="L32" s="319"/>
      <c r="N32" s="377"/>
    </row>
    <row r="33" spans="1:14" ht="15" customHeight="1">
      <c r="A33" s="379"/>
      <c r="L33" s="327"/>
      <c r="N33" s="377"/>
    </row>
    <row r="34" spans="1:14" ht="15" customHeight="1">
      <c r="A34" s="379"/>
      <c r="H34" s="375"/>
      <c r="L34" s="327"/>
      <c r="N34" s="377"/>
    </row>
    <row r="35" spans="1:14" ht="15" customHeight="1">
      <c r="A35" s="319"/>
      <c r="H35" s="375"/>
      <c r="I35" s="380"/>
      <c r="L35" s="327"/>
      <c r="N35" s="377"/>
    </row>
    <row r="36" spans="1:14" ht="15" customHeight="1">
      <c r="A36" s="319"/>
      <c r="I36" s="380"/>
      <c r="J36" s="327"/>
      <c r="N36" s="377"/>
    </row>
    <row r="37" spans="1:14" ht="15" customHeight="1">
      <c r="A37" s="319"/>
      <c r="I37" s="365"/>
      <c r="J37" s="327"/>
      <c r="L37" s="327"/>
      <c r="N37" s="367"/>
    </row>
    <row r="38" spans="1:14" ht="15" customHeight="1">
      <c r="A38" s="327"/>
      <c r="I38" s="365"/>
      <c r="J38" s="327"/>
      <c r="L38" s="327"/>
      <c r="N38" s="367"/>
    </row>
    <row r="39" spans="1:14" ht="15" customHeight="1">
      <c r="I39" s="365"/>
      <c r="J39" s="327"/>
      <c r="M39" s="367"/>
      <c r="N39" s="367"/>
    </row>
    <row r="40" spans="1:14" ht="15" customHeight="1">
      <c r="I40" s="380"/>
      <c r="J40" s="327"/>
      <c r="M40" s="367"/>
      <c r="N40" s="367"/>
    </row>
    <row r="41" spans="1:14" ht="15" customHeight="1">
      <c r="I41" s="380"/>
      <c r="J41" s="319"/>
      <c r="K41" s="367"/>
      <c r="M41" s="367"/>
      <c r="N41" s="367"/>
    </row>
    <row r="42" spans="1:14" ht="15" customHeight="1">
      <c r="I42" s="380"/>
      <c r="J42" s="319"/>
      <c r="K42" s="367"/>
      <c r="M42" s="367"/>
      <c r="N42" s="367"/>
    </row>
    <row r="43" spans="1:14" ht="15" customHeight="1">
      <c r="I43" s="380"/>
      <c r="J43" s="319"/>
      <c r="K43" s="367"/>
      <c r="L43" s="367"/>
      <c r="M43" s="367"/>
      <c r="N43" s="367"/>
    </row>
    <row r="44" spans="1:14" ht="15" customHeight="1">
      <c r="I44" s="380"/>
      <c r="J44" s="327"/>
      <c r="L44" s="367"/>
      <c r="M44" s="367"/>
    </row>
    <row r="45" spans="1:14" ht="15" customHeight="1">
      <c r="I45" s="376"/>
      <c r="L45" s="367"/>
      <c r="M45" s="367"/>
    </row>
    <row r="46" spans="1:14" ht="15" customHeight="1"/>
    <row r="47" spans="1:14" ht="15" customHeight="1"/>
    <row r="48" spans="1:14" ht="15" customHeight="1"/>
    <row r="49" ht="15" customHeight="1"/>
    <row r="50" ht="15" customHeight="1"/>
    <row r="51" ht="15" customHeight="1"/>
    <row r="52" ht="14.25" customHeight="1"/>
    <row r="53" ht="14.25" customHeight="1"/>
    <row r="54" ht="14.25" customHeight="1"/>
    <row r="55" ht="14.25" customHeight="1"/>
    <row r="56" ht="14.25" customHeight="1"/>
    <row r="57" ht="14.25" customHeight="1"/>
  </sheetData>
  <sheetProtection password="E0B2" sheet="1" objects="1" scenarios="1" selectLockedCells="1"/>
  <mergeCells count="7">
    <mergeCell ref="L12:M14"/>
    <mergeCell ref="L15:M20"/>
    <mergeCell ref="A1:J1"/>
    <mergeCell ref="J23:J24"/>
    <mergeCell ref="K23:K24"/>
    <mergeCell ref="I15:I17"/>
    <mergeCell ref="B19:G20"/>
  </mergeCells>
  <printOptions horizontalCentered="1"/>
  <pageMargins left="0.2" right="0.2" top="0.75" bottom="0.75" header="0.3" footer="0.3"/>
  <pageSetup firstPageNumber="0" orientation="portrait" r:id="rId1"/>
  <colBreaks count="1" manualBreakCount="1">
    <brk id="10" max="41" man="1"/>
  </colBreaks>
  <drawing r:id="rId2"/>
  <legacyDrawing r:id="rId3"/>
  <oleObjects>
    <oleObject progId="Equation.3" shapeId="13345" r:id="rId4"/>
    <oleObject progId="Equation.3" shapeId="13346" r:id="rId5"/>
    <oleObject progId="Equation.3" shapeId="13347" r:id="rId6"/>
  </oleObjects>
</worksheet>
</file>

<file path=xl/worksheets/sheet4.xml><?xml version="1.0" encoding="utf-8"?>
<worksheet xmlns="http://schemas.openxmlformats.org/spreadsheetml/2006/main" xmlns:r="http://schemas.openxmlformats.org/officeDocument/2006/relationships">
  <dimension ref="A1:M42"/>
  <sheetViews>
    <sheetView view="pageBreakPreview" zoomScaleNormal="100" zoomScaleSheetLayoutView="100" workbookViewId="0">
      <selection activeCell="C6" sqref="C6"/>
    </sheetView>
  </sheetViews>
  <sheetFormatPr defaultRowHeight="15"/>
  <cols>
    <col min="1" max="1" width="1.42578125" style="67" customWidth="1"/>
    <col min="2" max="2" width="21.42578125" style="67" customWidth="1"/>
    <col min="3" max="10" width="7.85546875" style="67" customWidth="1"/>
    <col min="11" max="11" width="11.42578125" style="67" customWidth="1"/>
    <col min="12" max="12" width="1.42578125" style="67" customWidth="1"/>
    <col min="13" max="16" width="9.28515625" style="67" customWidth="1"/>
    <col min="17" max="16384" width="9.140625" style="67"/>
  </cols>
  <sheetData>
    <row r="1" spans="1:13" ht="30" customHeight="1">
      <c r="A1" s="425" t="s">
        <v>124</v>
      </c>
      <c r="B1" s="425"/>
      <c r="C1" s="425"/>
      <c r="D1" s="425"/>
      <c r="E1" s="425"/>
      <c r="F1" s="425"/>
      <c r="G1" s="425"/>
      <c r="H1" s="425"/>
      <c r="I1" s="425"/>
      <c r="J1" s="425"/>
      <c r="K1" s="425"/>
      <c r="L1" s="425"/>
      <c r="M1" s="174"/>
    </row>
    <row r="3" spans="1:13" ht="15.75">
      <c r="B3" s="421" t="s">
        <v>99</v>
      </c>
      <c r="C3" s="421"/>
      <c r="D3" s="421"/>
      <c r="E3" s="421"/>
      <c r="F3" s="421"/>
      <c r="G3" s="421"/>
      <c r="H3" s="421"/>
      <c r="I3" s="421"/>
      <c r="J3" s="421"/>
      <c r="K3" s="421"/>
      <c r="L3" s="68"/>
    </row>
    <row r="4" spans="1:13">
      <c r="B4" s="418"/>
      <c r="C4" s="420" t="s">
        <v>100</v>
      </c>
      <c r="D4" s="420"/>
      <c r="E4" s="420"/>
      <c r="F4" s="420"/>
      <c r="G4" s="420" t="s">
        <v>82</v>
      </c>
      <c r="H4" s="420"/>
      <c r="I4" s="420"/>
      <c r="J4" s="420"/>
      <c r="K4" s="69" t="s">
        <v>31</v>
      </c>
    </row>
    <row r="5" spans="1:13">
      <c r="B5" s="419"/>
      <c r="C5" s="70" t="s">
        <v>51</v>
      </c>
      <c r="D5" s="71" t="s">
        <v>81</v>
      </c>
      <c r="E5" s="70" t="s">
        <v>50</v>
      </c>
      <c r="F5" s="71" t="s">
        <v>80</v>
      </c>
      <c r="G5" s="70" t="s">
        <v>51</v>
      </c>
      <c r="H5" s="71" t="s">
        <v>81</v>
      </c>
      <c r="I5" s="70" t="s">
        <v>50</v>
      </c>
      <c r="J5" s="71" t="s">
        <v>80</v>
      </c>
      <c r="K5" s="72" t="s">
        <v>101</v>
      </c>
    </row>
    <row r="6" spans="1:13">
      <c r="B6" s="73" t="str">
        <f>IF(Boiler1!I4="","",Boiler1!I4)</f>
        <v>Boiler 1</v>
      </c>
      <c r="C6" s="74">
        <f>Boiler1!C72</f>
        <v>0.71442084783494464</v>
      </c>
      <c r="D6" s="75">
        <f>Boiler1!D72</f>
        <v>0.68011039854288358</v>
      </c>
      <c r="E6" s="75">
        <f>Boiler1!E72</f>
        <v>0.60763728835097341</v>
      </c>
      <c r="F6" s="76">
        <f ca="1">Boiler1!F72</f>
        <v>0.18108138342473956</v>
      </c>
      <c r="G6" s="74">
        <f ca="1">Boiler1!G72</f>
        <v>0.73296259355609894</v>
      </c>
      <c r="H6" s="75">
        <f ca="1">Boiler1!H72</f>
        <v>0.70049942501414575</v>
      </c>
      <c r="I6" s="75">
        <f ca="1">Boiler1!I72</f>
        <v>0.62665314995022725</v>
      </c>
      <c r="J6" s="76">
        <f ca="1">Boiler1!J72</f>
        <v>0.21548960212750295</v>
      </c>
      <c r="K6" s="77">
        <f t="shared" ref="K6:K13" ca="1" si="0">IF(B6="","-",(SUM(C20:F20)-SUM(G20:J20))/SUM(C20:F20))</f>
        <v>2.8793818122625058E-2</v>
      </c>
    </row>
    <row r="7" spans="1:13">
      <c r="B7" s="82" t="str">
        <f>IF(Boiler2!I4="","",Boiler2!I4)</f>
        <v>Boiler 2</v>
      </c>
      <c r="C7" s="288">
        <f>Boiler2!C72</f>
        <v>0.78338010557438076</v>
      </c>
      <c r="D7" s="289" t="str">
        <f>Boiler2!D72</f>
        <v>-</v>
      </c>
      <c r="E7" s="289" t="str">
        <f>Boiler2!E72</f>
        <v>-</v>
      </c>
      <c r="F7" s="290" t="str">
        <f>Boiler2!F72</f>
        <v>-</v>
      </c>
      <c r="G7" s="288">
        <f ca="1">Boiler2!G72</f>
        <v>0.81100054949601041</v>
      </c>
      <c r="H7" s="289" t="str">
        <f>Boiler2!H72</f>
        <v>-</v>
      </c>
      <c r="I7" s="289" t="str">
        <f>Boiler2!I72</f>
        <v>-</v>
      </c>
      <c r="J7" s="290" t="str">
        <f>Boiler2!J72</f>
        <v>-</v>
      </c>
      <c r="K7" s="79">
        <f t="shared" ca="1" si="0"/>
        <v>3.4057244398655713E-2</v>
      </c>
    </row>
    <row r="8" spans="1:13">
      <c r="B8" s="80" t="str">
        <f>IF(Boiler3!I4="","",Boiler3!I4)</f>
        <v/>
      </c>
      <c r="C8" s="291" t="str">
        <f>Boiler3!C72</f>
        <v>-</v>
      </c>
      <c r="D8" s="292" t="str">
        <f>Boiler3!D72</f>
        <v>-</v>
      </c>
      <c r="E8" s="292" t="str">
        <f>Boiler3!E72</f>
        <v>-</v>
      </c>
      <c r="F8" s="293" t="str">
        <f>Boiler3!F72</f>
        <v>-</v>
      </c>
      <c r="G8" s="291" t="str">
        <f>Boiler3!G72</f>
        <v>-</v>
      </c>
      <c r="H8" s="292" t="str">
        <f>Boiler3!H72</f>
        <v>-</v>
      </c>
      <c r="I8" s="292" t="str">
        <f>Boiler3!I72</f>
        <v>-</v>
      </c>
      <c r="J8" s="293" t="str">
        <f>Boiler3!J72</f>
        <v>-</v>
      </c>
      <c r="K8" s="81" t="str">
        <f t="shared" si="0"/>
        <v>-</v>
      </c>
    </row>
    <row r="9" spans="1:13">
      <c r="B9" s="82" t="str">
        <f>IF(Boiler4!I4="","",Boiler4!I4)</f>
        <v/>
      </c>
      <c r="C9" s="288" t="str">
        <f>Boiler4!C72</f>
        <v>-</v>
      </c>
      <c r="D9" s="289" t="str">
        <f>Boiler4!D72</f>
        <v>-</v>
      </c>
      <c r="E9" s="294" t="str">
        <f>Boiler4!E72</f>
        <v>-</v>
      </c>
      <c r="F9" s="290" t="str">
        <f>Boiler4!F72</f>
        <v>-</v>
      </c>
      <c r="G9" s="288" t="str">
        <f>Boiler4!G72</f>
        <v>-</v>
      </c>
      <c r="H9" s="289" t="str">
        <f>Boiler4!H72</f>
        <v>-</v>
      </c>
      <c r="I9" s="289" t="str">
        <f>Boiler4!I72</f>
        <v>-</v>
      </c>
      <c r="J9" s="290" t="str">
        <f>Boiler4!J72</f>
        <v>-</v>
      </c>
      <c r="K9" s="79" t="str">
        <f t="shared" si="0"/>
        <v>-</v>
      </c>
      <c r="L9" s="68"/>
    </row>
    <row r="10" spans="1:13">
      <c r="B10" s="80" t="str">
        <f>IF(Boiler5!I4="","",Boiler5!I4)</f>
        <v/>
      </c>
      <c r="C10" s="291" t="str">
        <f>Boiler5!C72</f>
        <v>-</v>
      </c>
      <c r="D10" s="292" t="str">
        <f>Boiler5!D72</f>
        <v>-</v>
      </c>
      <c r="E10" s="295" t="str">
        <f>Boiler5!E72</f>
        <v>-</v>
      </c>
      <c r="F10" s="293" t="str">
        <f>Boiler5!F72</f>
        <v>-</v>
      </c>
      <c r="G10" s="291" t="str">
        <f>Boiler5!G72</f>
        <v>-</v>
      </c>
      <c r="H10" s="292" t="str">
        <f>Boiler5!H72</f>
        <v>-</v>
      </c>
      <c r="I10" s="292" t="str">
        <f>Boiler5!I72</f>
        <v>-</v>
      </c>
      <c r="J10" s="296" t="str">
        <f>Boiler5!J72</f>
        <v>-</v>
      </c>
      <c r="K10" s="81" t="str">
        <f t="shared" si="0"/>
        <v>-</v>
      </c>
    </row>
    <row r="11" spans="1:13" ht="15" customHeight="1">
      <c r="B11" s="83" t="str">
        <f>IF(Boiler6!I4="","",Boiler6!I4)</f>
        <v/>
      </c>
      <c r="C11" s="288" t="str">
        <f>Boiler6!C72</f>
        <v>-</v>
      </c>
      <c r="D11" s="289" t="str">
        <f>Boiler6!D72</f>
        <v>-</v>
      </c>
      <c r="E11" s="294" t="str">
        <f>Boiler6!E72</f>
        <v>-</v>
      </c>
      <c r="F11" s="290" t="str">
        <f>Boiler6!F72</f>
        <v>-</v>
      </c>
      <c r="G11" s="288" t="str">
        <f>Boiler6!G72</f>
        <v>-</v>
      </c>
      <c r="H11" s="289" t="str">
        <f>Boiler6!H72</f>
        <v>-</v>
      </c>
      <c r="I11" s="289" t="str">
        <f>Boiler6!I72</f>
        <v>-</v>
      </c>
      <c r="J11" s="297" t="str">
        <f>Boiler6!J72</f>
        <v>-</v>
      </c>
      <c r="K11" s="79" t="str">
        <f t="shared" si="0"/>
        <v>-</v>
      </c>
    </row>
    <row r="12" spans="1:13">
      <c r="B12" s="84" t="str">
        <f>IF(Boiler7!I4="","",Boiler7!I4)</f>
        <v/>
      </c>
      <c r="C12" s="298" t="str">
        <f>Boiler7!C72</f>
        <v>-</v>
      </c>
      <c r="D12" s="295" t="str">
        <f>Boiler7!D72</f>
        <v>-</v>
      </c>
      <c r="E12" s="295" t="str">
        <f>Boiler7!E72</f>
        <v>-</v>
      </c>
      <c r="F12" s="296" t="str">
        <f>Boiler7!F72</f>
        <v>-</v>
      </c>
      <c r="G12" s="298" t="str">
        <f>Boiler7!G72</f>
        <v>-</v>
      </c>
      <c r="H12" s="295" t="str">
        <f>Boiler7!H72</f>
        <v>-</v>
      </c>
      <c r="I12" s="295" t="str">
        <f>Boiler7!I72</f>
        <v>-</v>
      </c>
      <c r="J12" s="296" t="str">
        <f>Boiler7!J72</f>
        <v>-</v>
      </c>
      <c r="K12" s="81" t="str">
        <f t="shared" si="0"/>
        <v>-</v>
      </c>
    </row>
    <row r="13" spans="1:13">
      <c r="B13" s="78" t="str">
        <f>IF(Boiler8!I4="","",Boiler8!I4)</f>
        <v/>
      </c>
      <c r="C13" s="285" t="str">
        <f>Boiler8!C72</f>
        <v>-</v>
      </c>
      <c r="D13" s="286" t="str">
        <f>Boiler8!D72</f>
        <v>-</v>
      </c>
      <c r="E13" s="286" t="str">
        <f>Boiler8!E72</f>
        <v>-</v>
      </c>
      <c r="F13" s="287" t="str">
        <f>Boiler8!F72</f>
        <v>-</v>
      </c>
      <c r="G13" s="285" t="str">
        <f>Boiler8!G72</f>
        <v>-</v>
      </c>
      <c r="H13" s="286" t="str">
        <f>Boiler8!H72</f>
        <v>-</v>
      </c>
      <c r="I13" s="286" t="str">
        <f>Boiler8!I72</f>
        <v>-</v>
      </c>
      <c r="J13" s="287" t="str">
        <f>Boiler8!J72</f>
        <v>-</v>
      </c>
      <c r="K13" s="79" t="str">
        <f t="shared" si="0"/>
        <v>-</v>
      </c>
    </row>
    <row r="14" spans="1:13">
      <c r="B14" s="85" t="s">
        <v>104</v>
      </c>
      <c r="C14" s="299"/>
      <c r="D14" s="300"/>
      <c r="E14" s="300"/>
      <c r="F14" s="301"/>
      <c r="G14" s="300"/>
      <c r="H14" s="300"/>
      <c r="I14" s="300"/>
      <c r="J14" s="300"/>
      <c r="K14" s="86">
        <f ca="1">(C28-G28)/C28</f>
        <v>3.2414279173684862E-2</v>
      </c>
    </row>
    <row r="15" spans="1:13">
      <c r="B15" s="279"/>
      <c r="C15" s="280"/>
      <c r="D15" s="280"/>
      <c r="E15" s="280"/>
      <c r="F15" s="280"/>
      <c r="G15" s="280"/>
      <c r="H15" s="280"/>
      <c r="I15" s="280"/>
      <c r="J15" s="280"/>
      <c r="K15" s="281"/>
    </row>
    <row r="16" spans="1:13" ht="15.75">
      <c r="B16" s="421" t="s">
        <v>102</v>
      </c>
      <c r="C16" s="421"/>
      <c r="D16" s="421"/>
      <c r="E16" s="421"/>
      <c r="F16" s="421"/>
      <c r="G16" s="421"/>
      <c r="H16" s="421"/>
      <c r="I16" s="421"/>
      <c r="J16" s="421"/>
      <c r="K16" s="421"/>
    </row>
    <row r="17" spans="2:11">
      <c r="B17" s="418"/>
      <c r="C17" s="420" t="s">
        <v>100</v>
      </c>
      <c r="D17" s="420"/>
      <c r="E17" s="420"/>
      <c r="F17" s="420"/>
      <c r="G17" s="420" t="s">
        <v>82</v>
      </c>
      <c r="H17" s="420"/>
      <c r="I17" s="420"/>
      <c r="J17" s="420"/>
      <c r="K17" s="69" t="s">
        <v>104</v>
      </c>
    </row>
    <row r="18" spans="2:11">
      <c r="B18" s="419"/>
      <c r="C18" s="70" t="s">
        <v>51</v>
      </c>
      <c r="D18" s="71" t="s">
        <v>81</v>
      </c>
      <c r="E18" s="70" t="s">
        <v>50</v>
      </c>
      <c r="F18" s="71" t="s">
        <v>80</v>
      </c>
      <c r="G18" s="70" t="s">
        <v>51</v>
      </c>
      <c r="H18" s="71" t="s">
        <v>81</v>
      </c>
      <c r="I18" s="70" t="s">
        <v>50</v>
      </c>
      <c r="J18" s="71" t="s">
        <v>80</v>
      </c>
      <c r="K18" s="72" t="s">
        <v>101</v>
      </c>
    </row>
    <row r="19" spans="2:11">
      <c r="B19" s="382" t="s">
        <v>30</v>
      </c>
      <c r="C19" s="381" t="s">
        <v>233</v>
      </c>
      <c r="D19" s="381" t="s">
        <v>233</v>
      </c>
      <c r="E19" s="381" t="s">
        <v>233</v>
      </c>
      <c r="F19" s="381" t="s">
        <v>233</v>
      </c>
      <c r="G19" s="381" t="s">
        <v>233</v>
      </c>
      <c r="H19" s="381" t="s">
        <v>233</v>
      </c>
      <c r="I19" s="381" t="s">
        <v>233</v>
      </c>
      <c r="J19" s="381" t="s">
        <v>233</v>
      </c>
      <c r="K19" s="381" t="s">
        <v>233</v>
      </c>
    </row>
    <row r="20" spans="2:11">
      <c r="B20" s="73" t="str">
        <f>B6</f>
        <v>Boiler 1</v>
      </c>
      <c r="C20" s="88">
        <f>Boiler1!C52</f>
        <v>1000</v>
      </c>
      <c r="D20" s="89">
        <f>Boiler1!D52</f>
        <v>750</v>
      </c>
      <c r="E20" s="89">
        <f>Boiler1!E52</f>
        <v>500</v>
      </c>
      <c r="F20" s="90">
        <f>Boiler1!F52</f>
        <v>19</v>
      </c>
      <c r="G20" s="88">
        <f ca="1">Boiler1!G52</f>
        <v>974.70301228989638</v>
      </c>
      <c r="H20" s="89">
        <f ca="1">Boiler1!H52</f>
        <v>728.17018928582581</v>
      </c>
      <c r="I20" s="89">
        <f ca="1">Boiler1!I52</f>
        <v>484.82744274024304</v>
      </c>
      <c r="J20" s="90">
        <f ca="1">Boiler1!J52</f>
        <v>15.966182363798305</v>
      </c>
      <c r="K20" s="91">
        <f ca="1">SUM(C20:F20)-SUM(G20:J20)</f>
        <v>65.333173320236256</v>
      </c>
    </row>
    <row r="21" spans="2:11">
      <c r="B21" s="82" t="str">
        <f t="shared" ref="B21:B27" si="1">B7</f>
        <v>Boiler 2</v>
      </c>
      <c r="C21" s="302">
        <f>Boiler2!C52</f>
        <v>5000</v>
      </c>
      <c r="D21" s="303" t="str">
        <f>Boiler2!D52</f>
        <v>-</v>
      </c>
      <c r="E21" s="303" t="str">
        <f>Boiler2!E52</f>
        <v>-</v>
      </c>
      <c r="F21" s="304" t="str">
        <f>Boiler2!F52</f>
        <v>-</v>
      </c>
      <c r="G21" s="302">
        <f ca="1">Boiler2!G52</f>
        <v>4829.7137780067214</v>
      </c>
      <c r="H21" s="303" t="str">
        <f>Boiler2!H52</f>
        <v>-</v>
      </c>
      <c r="I21" s="303" t="str">
        <f>Boiler2!I52</f>
        <v>-</v>
      </c>
      <c r="J21" s="304" t="str">
        <f>Boiler2!J52</f>
        <v>-</v>
      </c>
      <c r="K21" s="92">
        <f t="shared" ref="K21:K27" ca="1" si="2">SUM(C21:F21)-SUM(G21:J21)</f>
        <v>170.28622199327856</v>
      </c>
    </row>
    <row r="22" spans="2:11">
      <c r="B22" s="80" t="str">
        <f t="shared" si="1"/>
        <v/>
      </c>
      <c r="C22" s="305" t="str">
        <f>Boiler3!C52</f>
        <v>-</v>
      </c>
      <c r="D22" s="306" t="str">
        <f>Boiler3!D52</f>
        <v>-</v>
      </c>
      <c r="E22" s="306" t="str">
        <f>Boiler3!E52</f>
        <v>-</v>
      </c>
      <c r="F22" s="307" t="str">
        <f>Boiler3!F52</f>
        <v>-</v>
      </c>
      <c r="G22" s="305" t="str">
        <f>Boiler3!G52</f>
        <v>-</v>
      </c>
      <c r="H22" s="306" t="str">
        <f>Boiler3!H52</f>
        <v>-</v>
      </c>
      <c r="I22" s="306" t="str">
        <f>Boiler3!I52</f>
        <v>-</v>
      </c>
      <c r="J22" s="307" t="str">
        <f>Boiler3!J52</f>
        <v>-</v>
      </c>
      <c r="K22" s="93">
        <f t="shared" si="2"/>
        <v>0</v>
      </c>
    </row>
    <row r="23" spans="2:11">
      <c r="B23" s="82" t="str">
        <f t="shared" si="1"/>
        <v/>
      </c>
      <c r="C23" s="302" t="str">
        <f>Boiler4!C52</f>
        <v>-</v>
      </c>
      <c r="D23" s="303" t="str">
        <f>Boiler4!D52</f>
        <v>-</v>
      </c>
      <c r="E23" s="308" t="str">
        <f>Boiler4!E52</f>
        <v>-</v>
      </c>
      <c r="F23" s="304" t="str">
        <f>Boiler4!F52</f>
        <v>-</v>
      </c>
      <c r="G23" s="302" t="str">
        <f>Boiler4!G52</f>
        <v>-</v>
      </c>
      <c r="H23" s="303" t="str">
        <f>Boiler4!H52</f>
        <v>-</v>
      </c>
      <c r="I23" s="303" t="str">
        <f>Boiler4!I52</f>
        <v>-</v>
      </c>
      <c r="J23" s="304" t="str">
        <f>Boiler4!J52</f>
        <v>-</v>
      </c>
      <c r="K23" s="92">
        <f t="shared" si="2"/>
        <v>0</v>
      </c>
    </row>
    <row r="24" spans="2:11">
      <c r="B24" s="80" t="str">
        <f t="shared" si="1"/>
        <v/>
      </c>
      <c r="C24" s="305" t="str">
        <f>Boiler5!C52</f>
        <v>-</v>
      </c>
      <c r="D24" s="306" t="str">
        <f>Boiler5!D52</f>
        <v>-</v>
      </c>
      <c r="E24" s="310" t="str">
        <f>Boiler5!E52</f>
        <v>-</v>
      </c>
      <c r="F24" s="307" t="str">
        <f>Boiler5!F52</f>
        <v>-</v>
      </c>
      <c r="G24" s="305" t="str">
        <f>Boiler5!G52</f>
        <v>-</v>
      </c>
      <c r="H24" s="306" t="str">
        <f>Boiler5!H52</f>
        <v>-</v>
      </c>
      <c r="I24" s="306" t="str">
        <f>Boiler5!I52</f>
        <v>-</v>
      </c>
      <c r="J24" s="311" t="str">
        <f>Boiler5!J52</f>
        <v>-</v>
      </c>
      <c r="K24" s="93">
        <f t="shared" si="2"/>
        <v>0</v>
      </c>
    </row>
    <row r="25" spans="2:11">
      <c r="B25" s="83" t="str">
        <f t="shared" si="1"/>
        <v/>
      </c>
      <c r="C25" s="302" t="str">
        <f>Boiler6!C52</f>
        <v>-</v>
      </c>
      <c r="D25" s="303" t="str">
        <f>Boiler6!D52</f>
        <v>-</v>
      </c>
      <c r="E25" s="308" t="str">
        <f>Boiler6!E52</f>
        <v>-</v>
      </c>
      <c r="F25" s="304" t="str">
        <f>Boiler6!F52</f>
        <v>-</v>
      </c>
      <c r="G25" s="302" t="str">
        <f>Boiler6!G52</f>
        <v>-</v>
      </c>
      <c r="H25" s="303" t="str">
        <f>Boiler6!H52</f>
        <v>-</v>
      </c>
      <c r="I25" s="303" t="str">
        <f>Boiler6!I52</f>
        <v>-</v>
      </c>
      <c r="J25" s="312" t="str">
        <f>Boiler6!J52</f>
        <v>-</v>
      </c>
      <c r="K25" s="92">
        <f t="shared" si="2"/>
        <v>0</v>
      </c>
    </row>
    <row r="26" spans="2:11">
      <c r="B26" s="84" t="str">
        <f t="shared" si="1"/>
        <v/>
      </c>
      <c r="C26" s="313" t="str">
        <f>Boiler7!C52</f>
        <v>-</v>
      </c>
      <c r="D26" s="310" t="str">
        <f>Boiler7!D52</f>
        <v>-</v>
      </c>
      <c r="E26" s="310" t="str">
        <f>Boiler7!E52</f>
        <v>-</v>
      </c>
      <c r="F26" s="311" t="str">
        <f>Boiler7!F52</f>
        <v>-</v>
      </c>
      <c r="G26" s="313" t="str">
        <f>Boiler7!G52</f>
        <v>-</v>
      </c>
      <c r="H26" s="310" t="str">
        <f>Boiler7!H52</f>
        <v>-</v>
      </c>
      <c r="I26" s="310" t="str">
        <f>Boiler7!I52</f>
        <v>-</v>
      </c>
      <c r="J26" s="311" t="str">
        <f>Boiler7!J52</f>
        <v>-</v>
      </c>
      <c r="K26" s="93">
        <f t="shared" si="2"/>
        <v>0</v>
      </c>
    </row>
    <row r="27" spans="2:11">
      <c r="B27" s="78" t="str">
        <f t="shared" si="1"/>
        <v/>
      </c>
      <c r="C27" s="302" t="str">
        <f>Boiler8!C52</f>
        <v>-</v>
      </c>
      <c r="D27" s="303" t="str">
        <f>Boiler8!D52</f>
        <v>-</v>
      </c>
      <c r="E27" s="303" t="str">
        <f>Boiler8!E52</f>
        <v>-</v>
      </c>
      <c r="F27" s="304" t="str">
        <f>Boiler8!F52</f>
        <v>-</v>
      </c>
      <c r="G27" s="302" t="str">
        <f>Boiler8!G52</f>
        <v>-</v>
      </c>
      <c r="H27" s="303" t="str">
        <f>Boiler8!H52</f>
        <v>-</v>
      </c>
      <c r="I27" s="303" t="str">
        <f>Boiler8!I52</f>
        <v>-</v>
      </c>
      <c r="J27" s="304" t="str">
        <f>Boiler8!J52</f>
        <v>-</v>
      </c>
      <c r="K27" s="92">
        <f t="shared" si="2"/>
        <v>0</v>
      </c>
    </row>
    <row r="28" spans="2:11">
      <c r="B28" s="85" t="s">
        <v>104</v>
      </c>
      <c r="C28" s="422">
        <f>SUM(C20:F27)</f>
        <v>7269</v>
      </c>
      <c r="D28" s="423"/>
      <c r="E28" s="423"/>
      <c r="F28" s="424"/>
      <c r="G28" s="422">
        <f ca="1">SUM(G20:J27)</f>
        <v>7033.3806046864847</v>
      </c>
      <c r="H28" s="423"/>
      <c r="I28" s="423"/>
      <c r="J28" s="424"/>
      <c r="K28" s="94">
        <f ca="1">SUM(K20:K27)</f>
        <v>235.61939531351481</v>
      </c>
    </row>
    <row r="29" spans="2:11">
      <c r="B29" s="279"/>
      <c r="C29" s="282"/>
      <c r="D29" s="282"/>
      <c r="E29" s="282"/>
      <c r="F29" s="282"/>
      <c r="G29" s="282"/>
      <c r="H29" s="282"/>
      <c r="I29" s="282"/>
      <c r="J29" s="282"/>
      <c r="K29" s="283"/>
    </row>
    <row r="30" spans="2:11" ht="15.75">
      <c r="B30" s="421" t="s">
        <v>103</v>
      </c>
      <c r="C30" s="421"/>
      <c r="D30" s="421"/>
      <c r="E30" s="421"/>
      <c r="F30" s="421"/>
      <c r="G30" s="421"/>
      <c r="H30" s="421"/>
      <c r="I30" s="421"/>
      <c r="J30" s="421"/>
      <c r="K30" s="421"/>
    </row>
    <row r="31" spans="2:11">
      <c r="B31" s="418"/>
      <c r="C31" s="420" t="s">
        <v>100</v>
      </c>
      <c r="D31" s="420"/>
      <c r="E31" s="420"/>
      <c r="F31" s="420"/>
      <c r="G31" s="420" t="s">
        <v>82</v>
      </c>
      <c r="H31" s="420"/>
      <c r="I31" s="420"/>
      <c r="J31" s="420"/>
      <c r="K31" s="69" t="s">
        <v>104</v>
      </c>
    </row>
    <row r="32" spans="2:11">
      <c r="B32" s="419"/>
      <c r="C32" s="70" t="s">
        <v>51</v>
      </c>
      <c r="D32" s="71" t="s">
        <v>81</v>
      </c>
      <c r="E32" s="70" t="s">
        <v>50</v>
      </c>
      <c r="F32" s="71" t="s">
        <v>80</v>
      </c>
      <c r="G32" s="70" t="s">
        <v>51</v>
      </c>
      <c r="H32" s="71" t="s">
        <v>81</v>
      </c>
      <c r="I32" s="70" t="s">
        <v>50</v>
      </c>
      <c r="J32" s="71" t="s">
        <v>80</v>
      </c>
      <c r="K32" s="72" t="s">
        <v>101</v>
      </c>
    </row>
    <row r="33" spans="2:11">
      <c r="B33" s="73" t="str">
        <f>B6</f>
        <v>Boiler 1</v>
      </c>
      <c r="C33" s="95">
        <f>IF(C20="-","-",C20*Boiler1!$I$29)</f>
        <v>15000</v>
      </c>
      <c r="D33" s="96">
        <f>IF(D20="-","-",D20*Boiler1!$I$29)</f>
        <v>11250</v>
      </c>
      <c r="E33" s="96">
        <f>IF(E20="-","-",E20*Boiler1!$I$29)</f>
        <v>7500</v>
      </c>
      <c r="F33" s="97">
        <f>IF(F20="-","-",F20*Boiler1!$I$29)</f>
        <v>285</v>
      </c>
      <c r="G33" s="95">
        <f ca="1">IF(G20="-","-",G20*Boiler1!$I$29)</f>
        <v>14620.545184348446</v>
      </c>
      <c r="H33" s="96">
        <f ca="1">IF(H20="-","-",H20*Boiler1!$I$29)</f>
        <v>10922.552839287388</v>
      </c>
      <c r="I33" s="96">
        <f ca="1">IF(I20="-","-",I20*Boiler1!$I$29)</f>
        <v>7272.4116411036457</v>
      </c>
      <c r="J33" s="97">
        <f ca="1">IF(J20="-","-",J20*Boiler1!$I$29)</f>
        <v>239.49273545697457</v>
      </c>
      <c r="K33" s="98">
        <f ca="1">SUM(C33:F33)-SUM(G33:J33)</f>
        <v>979.99759980354429</v>
      </c>
    </row>
    <row r="34" spans="2:11">
      <c r="B34" s="82" t="str">
        <f t="shared" ref="B34:B40" si="3">B7</f>
        <v>Boiler 2</v>
      </c>
      <c r="C34" s="99">
        <f>IF(C21="-","-",C21*Boiler2!$I$29)</f>
        <v>75000</v>
      </c>
      <c r="D34" s="62" t="str">
        <f>IF(D21="-","-",D21*Boiler2!$I$29)</f>
        <v>-</v>
      </c>
      <c r="E34" s="62" t="str">
        <f>IF(E21="-","-",E21*Boiler2!$I$29)</f>
        <v>-</v>
      </c>
      <c r="F34" s="100" t="str">
        <f>IF(F21="-","-",F21*Boiler2!$I$29)</f>
        <v>-</v>
      </c>
      <c r="G34" s="99">
        <f ca="1">IF(G21="-","-",G21*Boiler2!$I$29)</f>
        <v>72445.706670100815</v>
      </c>
      <c r="H34" s="62" t="str">
        <f>IF(H21="-","-",H21*Boiler2!$I$29)</f>
        <v>-</v>
      </c>
      <c r="I34" s="62" t="str">
        <f>IF(I21="-","-",I21*Boiler2!$I$29)</f>
        <v>-</v>
      </c>
      <c r="J34" s="100" t="str">
        <f>IF(J21="-","-",J21*Boiler2!$I$29)</f>
        <v>-</v>
      </c>
      <c r="K34" s="101">
        <f t="shared" ref="K34:K40" ca="1" si="4">SUM(C34:F34)-SUM(G34:J34)</f>
        <v>2554.2933298991848</v>
      </c>
    </row>
    <row r="35" spans="2:11">
      <c r="B35" s="80" t="str">
        <f t="shared" si="3"/>
        <v/>
      </c>
      <c r="C35" s="102" t="str">
        <f>IF(C22="-","-",C22*Boiler3!$I$29)</f>
        <v>-</v>
      </c>
      <c r="D35" s="61" t="str">
        <f>IF(D22="-","-",D22*Boiler3!$I$29)</f>
        <v>-</v>
      </c>
      <c r="E35" s="61" t="str">
        <f>IF(E22="-","-",E22*Boiler3!$I$29)</f>
        <v>-</v>
      </c>
      <c r="F35" s="103" t="str">
        <f>IF(F22="-","-",F22*Boiler3!$I$29)</f>
        <v>-</v>
      </c>
      <c r="G35" s="102" t="str">
        <f>IF(G22="-","-",G22*Boiler3!$I$29)</f>
        <v>-</v>
      </c>
      <c r="H35" s="61" t="str">
        <f>IF(H22="-","-",H22*Boiler3!$I$29)</f>
        <v>-</v>
      </c>
      <c r="I35" s="61" t="str">
        <f>IF(I22="-","-",I22*Boiler3!$I$29)</f>
        <v>-</v>
      </c>
      <c r="J35" s="103" t="str">
        <f>IF(J22="-","-",J22*Boiler3!$I$29)</f>
        <v>-</v>
      </c>
      <c r="K35" s="104">
        <f t="shared" si="4"/>
        <v>0</v>
      </c>
    </row>
    <row r="36" spans="2:11">
      <c r="B36" s="82" t="str">
        <f t="shared" si="3"/>
        <v/>
      </c>
      <c r="C36" s="99" t="str">
        <f>IF(C23="-","-",C23*Boiler4!$I$29)</f>
        <v>-</v>
      </c>
      <c r="D36" s="62" t="str">
        <f>IF(D23="-","-",D23*Boiler4!$I$29)</f>
        <v>-</v>
      </c>
      <c r="E36" s="105" t="str">
        <f>IF(E23="-","-",E23*Boiler4!$I$29)</f>
        <v>-</v>
      </c>
      <c r="F36" s="100" t="str">
        <f>IF(F23="-","-",F23*Boiler4!$I$29)</f>
        <v>-</v>
      </c>
      <c r="G36" s="99" t="str">
        <f>IF(G23="-","-",G23*Boiler4!$I$29)</f>
        <v>-</v>
      </c>
      <c r="H36" s="62" t="str">
        <f>IF(H23="-","-",H23*Boiler4!$I$29)</f>
        <v>-</v>
      </c>
      <c r="I36" s="62" t="str">
        <f>IF(I23="-","-",I23*Boiler4!$I$29)</f>
        <v>-</v>
      </c>
      <c r="J36" s="100" t="str">
        <f>IF(J23="-","-",J23*Boiler4!$I$29)</f>
        <v>-</v>
      </c>
      <c r="K36" s="101">
        <f t="shared" si="4"/>
        <v>0</v>
      </c>
    </row>
    <row r="37" spans="2:11">
      <c r="B37" s="80" t="str">
        <f t="shared" si="3"/>
        <v/>
      </c>
      <c r="C37" s="102" t="str">
        <f>IF(C24="-","-",C24*Boiler5!$I$29)</f>
        <v>-</v>
      </c>
      <c r="D37" s="61" t="str">
        <f>IF(D24="-","-",D24*Boiler5!$I$29)</f>
        <v>-</v>
      </c>
      <c r="E37" s="106" t="str">
        <f>IF(E24="-","-",E24*Boiler5!$I$29)</f>
        <v>-</v>
      </c>
      <c r="F37" s="103" t="str">
        <f>IF(F24="-","-",F24*Boiler5!$I$29)</f>
        <v>-</v>
      </c>
      <c r="G37" s="102" t="str">
        <f>IF(G24="-","-",G24*Boiler5!$I$29)</f>
        <v>-</v>
      </c>
      <c r="H37" s="61" t="str">
        <f>IF(H24="-","-",H24*Boiler5!$I$29)</f>
        <v>-</v>
      </c>
      <c r="I37" s="61" t="str">
        <f>IF(I24="-","-",I24*Boiler5!$I$29)</f>
        <v>-</v>
      </c>
      <c r="J37" s="107" t="str">
        <f>IF(J24="-","-",J24*Boiler5!$I$29)</f>
        <v>-</v>
      </c>
      <c r="K37" s="104">
        <f t="shared" si="4"/>
        <v>0</v>
      </c>
    </row>
    <row r="38" spans="2:11">
      <c r="B38" s="83" t="str">
        <f t="shared" si="3"/>
        <v/>
      </c>
      <c r="C38" s="99" t="str">
        <f>IF(C25="-","-",C25*Boiler6!$I$29)</f>
        <v>-</v>
      </c>
      <c r="D38" s="62" t="str">
        <f>IF(D25="-","-",D25*Boiler6!$I$29)</f>
        <v>-</v>
      </c>
      <c r="E38" s="105" t="str">
        <f>IF(E25="-","-",E25*Boiler6!$I$29)</f>
        <v>-</v>
      </c>
      <c r="F38" s="100" t="str">
        <f>IF(F25="-","-",F25*Boiler6!$I$29)</f>
        <v>-</v>
      </c>
      <c r="G38" s="99" t="str">
        <f>IF(G25="-","-",G25*Boiler6!$I$29)</f>
        <v>-</v>
      </c>
      <c r="H38" s="62" t="str">
        <f>IF(H25="-","-",H25*Boiler6!$I$29)</f>
        <v>-</v>
      </c>
      <c r="I38" s="62" t="str">
        <f>IF(I25="-","-",I25*Boiler6!$I$29)</f>
        <v>-</v>
      </c>
      <c r="J38" s="108" t="str">
        <f>IF(J25="-","-",J25*Boiler6!$I$29)</f>
        <v>-</v>
      </c>
      <c r="K38" s="101">
        <f t="shared" si="4"/>
        <v>0</v>
      </c>
    </row>
    <row r="39" spans="2:11">
      <c r="B39" s="84" t="str">
        <f t="shared" si="3"/>
        <v/>
      </c>
      <c r="C39" s="109" t="str">
        <f>IF(C26="-","-",C26*Boiler7!$I$29)</f>
        <v>-</v>
      </c>
      <c r="D39" s="106" t="str">
        <f>IF(D26="-","-",D26*Boiler7!$I$29)</f>
        <v>-</v>
      </c>
      <c r="E39" s="106" t="str">
        <f>IF(E26="-","-",E26*Boiler7!$I$29)</f>
        <v>-</v>
      </c>
      <c r="F39" s="107" t="str">
        <f>IF(F26="-","-",F26*Boiler7!$I$29)</f>
        <v>-</v>
      </c>
      <c r="G39" s="109" t="str">
        <f>IF(G26="-","-",G26*Boiler7!$I$29)</f>
        <v>-</v>
      </c>
      <c r="H39" s="106" t="str">
        <f>IF(H26="-","-",H26*Boiler7!$I$29)</f>
        <v>-</v>
      </c>
      <c r="I39" s="106" t="str">
        <f>IF(I26="-","-",I26*Boiler7!$I$29)</f>
        <v>-</v>
      </c>
      <c r="J39" s="107" t="str">
        <f>IF(J26="-","-",J26*Boiler7!$I$29)</f>
        <v>-</v>
      </c>
      <c r="K39" s="104">
        <f t="shared" si="4"/>
        <v>0</v>
      </c>
    </row>
    <row r="40" spans="2:11">
      <c r="B40" s="78" t="str">
        <f t="shared" si="3"/>
        <v/>
      </c>
      <c r="C40" s="99" t="str">
        <f>IF(C27="-","-",C27*Boiler8!$I$29)</f>
        <v>-</v>
      </c>
      <c r="D40" s="62" t="str">
        <f>IF(D27="-","-",D27*Boiler8!$I$29)</f>
        <v>-</v>
      </c>
      <c r="E40" s="62" t="str">
        <f>IF(E27="-","-",E27*Boiler8!$I$29)</f>
        <v>-</v>
      </c>
      <c r="F40" s="100" t="str">
        <f>IF(F27="-","-",F27*Boiler8!$I$29)</f>
        <v>-</v>
      </c>
      <c r="G40" s="99" t="str">
        <f>IF(G27="-","-",G27*Boiler8!$I$29)</f>
        <v>-</v>
      </c>
      <c r="H40" s="62" t="str">
        <f>IF(H27="-","-",H27*Boiler8!$I$29)</f>
        <v>-</v>
      </c>
      <c r="I40" s="62" t="str">
        <f>IF(I27="-","-",I27*Boiler8!$I$29)</f>
        <v>-</v>
      </c>
      <c r="J40" s="100" t="str">
        <f>IF(J27="-","-",J27*Boiler8!$I$29)</f>
        <v>-</v>
      </c>
      <c r="K40" s="101">
        <f t="shared" si="4"/>
        <v>0</v>
      </c>
    </row>
    <row r="41" spans="2:11">
      <c r="B41" s="85" t="s">
        <v>104</v>
      </c>
      <c r="C41" s="415">
        <f>SUM(C33:F40)</f>
        <v>109035</v>
      </c>
      <c r="D41" s="416"/>
      <c r="E41" s="416"/>
      <c r="F41" s="417"/>
      <c r="G41" s="415">
        <f ca="1">SUM(G33:J40)</f>
        <v>105500.70907029728</v>
      </c>
      <c r="H41" s="416"/>
      <c r="I41" s="416"/>
      <c r="J41" s="417"/>
      <c r="K41" s="110">
        <f ca="1">SUM(K33:K40)</f>
        <v>3534.290929702729</v>
      </c>
    </row>
    <row r="42" spans="2:11">
      <c r="B42" s="283"/>
      <c r="C42" s="283"/>
      <c r="D42" s="283"/>
      <c r="E42" s="283"/>
      <c r="F42" s="283"/>
      <c r="G42" s="283"/>
      <c r="H42" s="283"/>
      <c r="I42" s="283"/>
      <c r="J42" s="283"/>
      <c r="K42" s="283"/>
    </row>
  </sheetData>
  <sheetProtection password="E0B2" sheet="1" objects="1" scenarios="1" selectLockedCells="1"/>
  <mergeCells count="17">
    <mergeCell ref="B16:K16"/>
    <mergeCell ref="A1:L1"/>
    <mergeCell ref="B3:K3"/>
    <mergeCell ref="C4:F4"/>
    <mergeCell ref="G4:J4"/>
    <mergeCell ref="B4:B5"/>
    <mergeCell ref="C41:F41"/>
    <mergeCell ref="G41:J41"/>
    <mergeCell ref="B17:B18"/>
    <mergeCell ref="C17:F17"/>
    <mergeCell ref="G17:J17"/>
    <mergeCell ref="B30:K30"/>
    <mergeCell ref="B31:B32"/>
    <mergeCell ref="C31:F31"/>
    <mergeCell ref="G31:J31"/>
    <mergeCell ref="C28:F28"/>
    <mergeCell ref="G28:J28"/>
  </mergeCells>
  <dataValidations disablePrompts="1" count="1">
    <dataValidation type="list" allowBlank="1" showInputMessage="1" showErrorMessage="1" sqref="H31:J31 H17:J17 H4:J4">
      <formula1>'Fuel Properties'!A7:A13</formula1>
    </dataValidation>
  </dataValidations>
  <printOptions horizontalCentered="1"/>
  <pageMargins left="0.2" right="0.2" top="0.75" bottom="0.75" header="0.3" footer="0.3"/>
  <pageSetup orientation="portrait"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dimension ref="A1:N82"/>
  <sheetViews>
    <sheetView view="pageBreakPreview" zoomScaleNormal="100" zoomScaleSheetLayoutView="100" workbookViewId="0">
      <selection activeCell="D4" sqref="D4:E4"/>
    </sheetView>
  </sheetViews>
  <sheetFormatPr defaultRowHeight="15"/>
  <cols>
    <col min="1" max="1" width="1.42578125" style="67" customWidth="1"/>
    <col min="2" max="2" width="19.140625" style="67" customWidth="1"/>
    <col min="3" max="10" width="9.5703125" style="67" customWidth="1"/>
    <col min="11" max="11" width="1.42578125" style="67" customWidth="1"/>
    <col min="12" max="16" width="9.28515625" style="67" customWidth="1"/>
    <col min="17" max="16384" width="9.140625" style="67"/>
  </cols>
  <sheetData>
    <row r="1" spans="1:14" ht="30" customHeight="1">
      <c r="A1" s="425" t="s">
        <v>124</v>
      </c>
      <c r="B1" s="425"/>
      <c r="C1" s="425"/>
      <c r="D1" s="425"/>
      <c r="E1" s="425"/>
      <c r="F1" s="425"/>
      <c r="G1" s="425"/>
      <c r="H1" s="425"/>
      <c r="I1" s="425"/>
      <c r="J1" s="425"/>
      <c r="K1" s="425"/>
      <c r="L1" s="174"/>
      <c r="M1" s="174"/>
    </row>
    <row r="2" spans="1:14" ht="15" customHeight="1"/>
    <row r="3" spans="1:14" ht="15" customHeight="1">
      <c r="B3" s="439" t="s">
        <v>194</v>
      </c>
      <c r="C3" s="439"/>
      <c r="D3" s="439"/>
      <c r="E3" s="439"/>
      <c r="F3" s="439"/>
      <c r="G3" s="439"/>
      <c r="H3" s="439"/>
      <c r="I3" s="439"/>
      <c r="J3" s="439"/>
    </row>
    <row r="4" spans="1:14" ht="15" customHeight="1">
      <c r="B4" s="428" t="s">
        <v>96</v>
      </c>
      <c r="C4" s="430"/>
      <c r="D4" s="437"/>
      <c r="E4" s="438"/>
      <c r="F4" s="432" t="s">
        <v>239</v>
      </c>
      <c r="G4" s="432"/>
      <c r="H4" s="432"/>
      <c r="I4" s="448" t="s">
        <v>242</v>
      </c>
      <c r="J4" s="448"/>
      <c r="K4" s="68"/>
    </row>
    <row r="5" spans="1:14" ht="15" customHeight="1">
      <c r="B5" s="432" t="s">
        <v>95</v>
      </c>
      <c r="C5" s="432"/>
      <c r="D5" s="437" t="s">
        <v>228</v>
      </c>
      <c r="E5" s="438"/>
      <c r="F5" s="428" t="s">
        <v>77</v>
      </c>
      <c r="G5" s="429"/>
      <c r="H5" s="430"/>
      <c r="I5" s="247">
        <f>SUM(C51:F51)</f>
        <v>3100</v>
      </c>
      <c r="J5" s="175" t="s">
        <v>92</v>
      </c>
    </row>
    <row r="6" spans="1:14" ht="15" customHeight="1">
      <c r="B6" s="434" t="s">
        <v>176</v>
      </c>
      <c r="C6" s="434"/>
      <c r="D6" s="249">
        <f ca="1">D38/((I7-F49)*I6)*(I7/F49)*0.00006</f>
        <v>5.096311245118228</v>
      </c>
      <c r="E6" s="176" t="s">
        <v>164</v>
      </c>
      <c r="F6" s="434" t="s">
        <v>94</v>
      </c>
      <c r="G6" s="434"/>
      <c r="H6" s="434"/>
      <c r="I6" s="251">
        <v>1</v>
      </c>
      <c r="J6" s="177" t="s">
        <v>93</v>
      </c>
    </row>
    <row r="7" spans="1:14" ht="15" customHeight="1">
      <c r="B7" s="435" t="s">
        <v>162</v>
      </c>
      <c r="C7" s="435"/>
      <c r="D7" s="252">
        <v>30</v>
      </c>
      <c r="E7" s="178" t="s">
        <v>163</v>
      </c>
      <c r="F7" s="432" t="s">
        <v>160</v>
      </c>
      <c r="G7" s="432"/>
      <c r="H7" s="432"/>
      <c r="I7" s="254">
        <v>0.2</v>
      </c>
      <c r="J7" s="248"/>
      <c r="N7" s="179"/>
    </row>
    <row r="8" spans="1:14" ht="15" customHeight="1">
      <c r="B8" s="188"/>
      <c r="C8" s="188"/>
      <c r="D8" s="181"/>
      <c r="E8" s="180"/>
      <c r="F8" s="182"/>
      <c r="G8" s="182"/>
      <c r="H8" s="182"/>
      <c r="I8" s="183"/>
      <c r="J8" s="182"/>
      <c r="N8" s="179"/>
    </row>
    <row r="9" spans="1:14" ht="15" customHeight="1">
      <c r="B9" s="439" t="s">
        <v>195</v>
      </c>
      <c r="C9" s="439"/>
      <c r="D9" s="439"/>
      <c r="E9" s="439"/>
      <c r="F9" s="439"/>
      <c r="G9" s="439"/>
      <c r="H9" s="439"/>
      <c r="I9" s="439"/>
      <c r="J9" s="439"/>
    </row>
    <row r="10" spans="1:14" ht="15" customHeight="1">
      <c r="B10" s="426" t="s">
        <v>91</v>
      </c>
      <c r="C10" s="426"/>
      <c r="D10" s="255">
        <v>80</v>
      </c>
      <c r="E10" s="256" t="s">
        <v>226</v>
      </c>
      <c r="F10" s="431" t="s">
        <v>198</v>
      </c>
      <c r="G10" s="431"/>
      <c r="H10" s="431"/>
      <c r="I10" s="257">
        <v>50</v>
      </c>
      <c r="J10" s="184" t="s">
        <v>83</v>
      </c>
    </row>
    <row r="11" spans="1:14" ht="15" customHeight="1">
      <c r="B11" s="433" t="s">
        <v>161</v>
      </c>
      <c r="C11" s="433"/>
      <c r="D11" s="258">
        <v>0.75</v>
      </c>
      <c r="E11" s="250"/>
      <c r="F11" s="434" t="s">
        <v>86</v>
      </c>
      <c r="G11" s="434"/>
      <c r="H11" s="434"/>
      <c r="I11" s="259">
        <f>-0.0000000000000723527*I12^3+0.00000000795644*I12^2-0.00053178*I12+14.6958</f>
        <v>14.6958</v>
      </c>
      <c r="J11" s="185" t="s">
        <v>85</v>
      </c>
    </row>
    <row r="12" spans="1:14" ht="15" customHeight="1">
      <c r="B12" s="432" t="s">
        <v>88</v>
      </c>
      <c r="C12" s="432"/>
      <c r="D12" s="260">
        <v>0.01</v>
      </c>
      <c r="E12" s="253" t="s">
        <v>87</v>
      </c>
      <c r="F12" s="435" t="s">
        <v>90</v>
      </c>
      <c r="G12" s="435"/>
      <c r="H12" s="435"/>
      <c r="I12" s="260">
        <v>0</v>
      </c>
      <c r="J12" s="175" t="s">
        <v>89</v>
      </c>
    </row>
    <row r="13" spans="1:14" ht="15" customHeight="1">
      <c r="B13" s="182"/>
      <c r="C13" s="182"/>
      <c r="D13" s="186"/>
      <c r="E13" s="180"/>
      <c r="F13" s="180"/>
      <c r="G13" s="180"/>
      <c r="H13" s="180"/>
      <c r="I13" s="186"/>
      <c r="J13" s="182"/>
    </row>
    <row r="14" spans="1:14" ht="15" customHeight="1">
      <c r="B14" s="439" t="s">
        <v>196</v>
      </c>
      <c r="C14" s="439"/>
      <c r="D14" s="439"/>
      <c r="E14" s="439"/>
      <c r="F14" s="439"/>
      <c r="G14" s="439"/>
      <c r="H14" s="439"/>
      <c r="I14" s="439"/>
      <c r="J14" s="439"/>
    </row>
    <row r="15" spans="1:14" ht="15" customHeight="1">
      <c r="A15" s="87"/>
      <c r="B15" s="436" t="s">
        <v>165</v>
      </c>
      <c r="C15" s="436"/>
      <c r="D15" s="261">
        <v>10</v>
      </c>
      <c r="E15" s="187" t="s">
        <v>166</v>
      </c>
      <c r="F15" s="426" t="s">
        <v>167</v>
      </c>
      <c r="G15" s="426"/>
      <c r="H15" s="426"/>
      <c r="I15" s="262">
        <f>I6*29.876249572*0.2</f>
        <v>5.9752499144</v>
      </c>
      <c r="J15" s="184" t="s">
        <v>168</v>
      </c>
    </row>
    <row r="16" spans="1:14" ht="15" customHeight="1">
      <c r="B16" s="435" t="s">
        <v>171</v>
      </c>
      <c r="C16" s="435"/>
      <c r="D16" s="309">
        <f>1.986/18</f>
        <v>0.11033333333333334</v>
      </c>
      <c r="E16" s="178" t="s">
        <v>170</v>
      </c>
      <c r="F16" s="427"/>
      <c r="G16" s="427"/>
      <c r="H16" s="427"/>
      <c r="I16" s="68"/>
    </row>
    <row r="17" spans="2:12" ht="15" customHeight="1">
      <c r="B17" s="180"/>
      <c r="C17" s="180"/>
      <c r="D17" s="189"/>
      <c r="E17" s="180"/>
      <c r="F17" s="180"/>
      <c r="G17" s="180"/>
      <c r="H17" s="180"/>
      <c r="I17" s="68"/>
    </row>
    <row r="18" spans="2:12" ht="15" customHeight="1">
      <c r="B18" s="439" t="s">
        <v>200</v>
      </c>
      <c r="C18" s="439"/>
      <c r="D18" s="439"/>
      <c r="E18" s="439"/>
      <c r="F18" s="439"/>
      <c r="G18" s="439"/>
      <c r="H18" s="439"/>
      <c r="I18" s="439"/>
      <c r="J18" s="439"/>
    </row>
    <row r="19" spans="2:12" ht="15" customHeight="1">
      <c r="B19" s="263" t="s">
        <v>207</v>
      </c>
      <c r="C19" s="264"/>
      <c r="D19" s="265">
        <v>100</v>
      </c>
      <c r="E19" s="184" t="s">
        <v>84</v>
      </c>
      <c r="F19" s="442" t="s">
        <v>208</v>
      </c>
      <c r="G19" s="443"/>
      <c r="H19" s="444"/>
      <c r="I19" s="284">
        <f ca="1">(OFFSET('Steam Properties'!$A$5,MATCH(D19,'Steam Properties'!$A$5:'Steam Properties'!$A$129,TRUE),1,1,1)-VLOOKUP(D19,'Steam Properties'!$A$5:'Steam Properties'!$F$129,2,TRUE))/(OFFSET('Steam Properties'!$A$5,MATCH(D19,'Steam Properties'!$A$5:'Steam Properties'!$A$129,TRUE),0,1,1)-VLOOKUP(D19,'Steam Properties'!$A$5:'Steam Properties'!$F$129,1,TRUE))*(D19-VLOOKUP(D19,'Steam Properties'!$A$5:'Steam Properties'!$F$129,1,TRUE))+VLOOKUP(D19,'Steam Properties'!$A$5:'Steam Properties'!$F$129,2,TRUE)</f>
        <v>338</v>
      </c>
      <c r="J19" s="184" t="s">
        <v>83</v>
      </c>
      <c r="L19" s="284"/>
    </row>
    <row r="20" spans="2:12" ht="15" customHeight="1">
      <c r="B20" s="433" t="s">
        <v>204</v>
      </c>
      <c r="C20" s="433"/>
      <c r="D20" s="266">
        <f ca="1">(OFFSET('Steam Properties'!$A$5,MATCH(D19,'Steam Properties'!$A$5:'Steam Properties'!$A$129,TRUE),1,1,1)-VLOOKUP(D19,'Steam Properties'!$A$5:'Steam Properties'!$F$129,3,TRUE))/(OFFSET('Steam Properties'!$A$5,MATCH(D19,'Steam Properties'!$A$5:'Steam Properties'!$A$129,TRUE),0,1,1)-VLOOKUP(D19,'Steam Properties'!$A$5:'Steam Properties'!$F$129,1,TRUE))*(D19-VLOOKUP(D19,'Steam Properties'!$A$5:'Steam Properties'!$F$129,1,TRUE))+VLOOKUP(D19,'Steam Properties'!$A$5:'Steam Properties'!$F$129,3,TRUE)</f>
        <v>3.89</v>
      </c>
      <c r="E20" s="190" t="s">
        <v>205</v>
      </c>
      <c r="F20" s="433" t="s">
        <v>202</v>
      </c>
      <c r="G20" s="433"/>
      <c r="H20" s="433"/>
      <c r="I20" s="267">
        <f ca="1">(OFFSET('Steam Properties'!$A$5,MATCH(D19,'Steam Properties'!$A$5:'Steam Properties'!$A$129,TRUE),1,1,1)-VLOOKUP(D19,'Steam Properties'!$A$5:'Steam Properties'!$F$129,4,TRUE))/(OFFSET('Steam Properties'!$A$5,MATCH(D19,'Steam Properties'!$A$5:'Steam Properties'!$A$129,TRUE),0,1,1)-VLOOKUP(D19,'Steam Properties'!$A$5:'Steam Properties'!$F$129,1,TRUE))*(D19-VLOOKUP(D19,'Steam Properties'!$A$5:'Steam Properties'!$F$129,1,TRUE))+VLOOKUP(D19,'Steam Properties'!$A$5:'Steam Properties'!$F$129,4,TRUE)</f>
        <v>309</v>
      </c>
      <c r="J20" s="185" t="s">
        <v>169</v>
      </c>
    </row>
    <row r="21" spans="2:12" ht="15" customHeight="1">
      <c r="B21" s="435" t="s">
        <v>201</v>
      </c>
      <c r="C21" s="435"/>
      <c r="D21" s="268">
        <f ca="1">(OFFSET('Steam Properties'!$A$5,MATCH(D19,'Steam Properties'!$A$5:'Steam Properties'!$A$129,TRUE),1,1,1)-VLOOKUP(D19,'Steam Properties'!$A$5:'Steam Properties'!$F$129,5,TRUE))/(OFFSET('Steam Properties'!$A$5,MATCH(D19,'Steam Properties'!$A$5:'Steam Properties'!$A$129,TRUE),0,1,1)-VLOOKUP(D19,'Steam Properties'!$A$5:'Steam Properties'!$F$129,1,TRUE))*(D19-VLOOKUP(D19,'Steam Properties'!$A$5:'Steam Properties'!$F$129,1,TRUE))+VLOOKUP(D19,'Steam Properties'!$A$5:'Steam Properties'!$F$129,5,TRUE)</f>
        <v>880</v>
      </c>
      <c r="E21" s="178" t="s">
        <v>169</v>
      </c>
      <c r="F21" s="435" t="s">
        <v>203</v>
      </c>
      <c r="G21" s="435"/>
      <c r="H21" s="435"/>
      <c r="I21" s="269">
        <f ca="1">(OFFSET('Steam Properties'!$A$5,MATCH(D19,'Steam Properties'!$A$5:'Steam Properties'!$A$129,TRUE),1,1,1)-VLOOKUP(D19,'Steam Properties'!$A$5:'Steam Properties'!$F$129,6,TRUE))/(OFFSET('Steam Properties'!$A$5,MATCH(D19,'Steam Properties'!$A$5:'Steam Properties'!$A$129,TRUE),0,1,1)-VLOOKUP(D19,'Steam Properties'!$A$5:'Steam Properties'!$F$129,1,TRUE))*(D19-VLOOKUP(D19,'Steam Properties'!$A$5:'Steam Properties'!$F$129,1,TRUE))+VLOOKUP(D19,'Steam Properties'!$A$5:'Steam Properties'!$F$129,6,TRUE)</f>
        <v>1189</v>
      </c>
      <c r="J21" s="178" t="s">
        <v>169</v>
      </c>
    </row>
    <row r="22" spans="2:12" ht="15" customHeight="1">
      <c r="B22" s="180"/>
      <c r="C22" s="180"/>
      <c r="D22" s="191"/>
      <c r="E22" s="180"/>
      <c r="F22" s="180"/>
      <c r="G22" s="180"/>
      <c r="H22" s="180"/>
      <c r="I22" s="153"/>
      <c r="J22" s="180"/>
    </row>
    <row r="23" spans="2:12" ht="15" customHeight="1">
      <c r="B23" s="439" t="s">
        <v>206</v>
      </c>
      <c r="C23" s="439"/>
      <c r="D23" s="439"/>
      <c r="E23" s="439"/>
      <c r="F23" s="439"/>
      <c r="G23" s="439"/>
      <c r="H23" s="439"/>
      <c r="I23" s="439"/>
      <c r="J23" s="439"/>
    </row>
    <row r="24" spans="2:12" ht="15" customHeight="1">
      <c r="B24" s="263" t="s">
        <v>209</v>
      </c>
      <c r="C24" s="264"/>
      <c r="D24" s="265">
        <v>100</v>
      </c>
      <c r="E24" s="184" t="s">
        <v>84</v>
      </c>
      <c r="F24" s="442" t="s">
        <v>210</v>
      </c>
      <c r="G24" s="443"/>
      <c r="H24" s="444"/>
      <c r="I24" s="284">
        <f ca="1">(OFFSET('Steam Properties'!$A$5,MATCH(D24,'Steam Properties'!$A$5:'Steam Properties'!$A$129,TRUE),1,1,1)-VLOOKUP(D24,'Steam Properties'!$A$5:'Steam Properties'!$F$129,2,TRUE))/(OFFSET('Steam Properties'!$A$5,MATCH(D24,'Steam Properties'!$A$5:'Steam Properties'!$A$129,TRUE),0,1,1)-VLOOKUP(D24,'Steam Properties'!$A$5:'Steam Properties'!$F$129,1,TRUE))*(D24-VLOOKUP(D24,'Steam Properties'!$A$5:'Steam Properties'!$F$129,1,TRUE))+VLOOKUP(D24,'Steam Properties'!$A$5:'Steam Properties'!$F$129,2,TRUE)</f>
        <v>338</v>
      </c>
      <c r="J24" s="184" t="s">
        <v>83</v>
      </c>
      <c r="L24" s="284"/>
    </row>
    <row r="25" spans="2:12" ht="15" customHeight="1">
      <c r="B25" s="433" t="s">
        <v>204</v>
      </c>
      <c r="C25" s="433"/>
      <c r="D25" s="266">
        <f ca="1">(OFFSET('Steam Properties'!$A$5,MATCH(D24,'Steam Properties'!$A$5:'Steam Properties'!$A$129,TRUE),1,1,1)-VLOOKUP(D24,'Steam Properties'!$A$5:'Steam Properties'!$F$129,3,TRUE))/(OFFSET('Steam Properties'!$A$5,MATCH(D24,'Steam Properties'!$A$5:'Steam Properties'!$A$129,TRUE),0,1,1)-VLOOKUP(D24,'Steam Properties'!$A$5:'Steam Properties'!$F$129,1,TRUE))*(D24-VLOOKUP(D24,'Steam Properties'!$A$5:'Steam Properties'!$F$129,1,TRUE))+VLOOKUP(D24,'Steam Properties'!$A$5:'Steam Properties'!$F$129,3,TRUE)</f>
        <v>3.89</v>
      </c>
      <c r="E25" s="190" t="s">
        <v>205</v>
      </c>
      <c r="F25" s="433" t="s">
        <v>202</v>
      </c>
      <c r="G25" s="433"/>
      <c r="H25" s="433"/>
      <c r="I25" s="267">
        <f ca="1">(OFFSET('Steam Properties'!$A$5,MATCH(D24,'Steam Properties'!$A$5:'Steam Properties'!$A$129,TRUE),1,1,1)-VLOOKUP(D24,'Steam Properties'!$A$5:'Steam Properties'!$F$129,4,TRUE))/(OFFSET('Steam Properties'!$A$5,MATCH(D24,'Steam Properties'!$A$5:'Steam Properties'!$A$129,TRUE),0,1,1)-VLOOKUP(D24,'Steam Properties'!$A$5:'Steam Properties'!$F$129,1,TRUE))*(D24-VLOOKUP(D24,'Steam Properties'!$A$5:'Steam Properties'!$F$129,1,TRUE))+VLOOKUP(D24,'Steam Properties'!$A$5:'Steam Properties'!$F$129,4,TRUE)</f>
        <v>309</v>
      </c>
      <c r="J25" s="185" t="s">
        <v>169</v>
      </c>
    </row>
    <row r="26" spans="2:12" ht="15" customHeight="1">
      <c r="B26" s="435" t="s">
        <v>201</v>
      </c>
      <c r="C26" s="435"/>
      <c r="D26" s="268">
        <f ca="1">(OFFSET('Steam Properties'!$A$5,MATCH(D24,'Steam Properties'!$A$5:'Steam Properties'!$A$129,TRUE),1,1,1)-VLOOKUP(D24,'Steam Properties'!$A$5:'Steam Properties'!$F$129,5,TRUE))/(OFFSET('Steam Properties'!$A$5,MATCH(D24,'Steam Properties'!$A$5:'Steam Properties'!$A$129,TRUE),0,1,1)-VLOOKUP(D24,'Steam Properties'!$A$5:'Steam Properties'!$F$129,1,TRUE))*(D24-VLOOKUP(D24,'Steam Properties'!$A$5:'Steam Properties'!$F$129,1,TRUE))+VLOOKUP(D24,'Steam Properties'!$A$5:'Steam Properties'!$F$129,5,TRUE)</f>
        <v>880</v>
      </c>
      <c r="E26" s="178" t="s">
        <v>169</v>
      </c>
      <c r="F26" s="435" t="s">
        <v>203</v>
      </c>
      <c r="G26" s="435"/>
      <c r="H26" s="435"/>
      <c r="I26" s="268">
        <f ca="1">(OFFSET('Steam Properties'!$A$5,MATCH(D24,'Steam Properties'!$A$5:'Steam Properties'!$A$129,TRUE),1,1,1)-VLOOKUP(D24,'Steam Properties'!$A$5:'Steam Properties'!$F$129,6,TRUE))/(OFFSET('Steam Properties'!$A$5,MATCH(D24,'Steam Properties'!$A$5:'Steam Properties'!$A$129,TRUE),0,1,1)-VLOOKUP(D24,'Steam Properties'!$A$5:'Steam Properties'!$F$129,1,TRUE))*(D24-VLOOKUP(D24,'Steam Properties'!$A$5:'Steam Properties'!$F$129,1,TRUE))+VLOOKUP(D24,'Steam Properties'!$A$5:'Steam Properties'!$F$129,6,TRUE)</f>
        <v>1189</v>
      </c>
      <c r="J26" s="178" t="s">
        <v>169</v>
      </c>
    </row>
    <row r="27" spans="2:12" ht="15" customHeight="1">
      <c r="B27" s="180"/>
      <c r="C27" s="180"/>
      <c r="D27" s="191"/>
      <c r="E27" s="180"/>
      <c r="F27" s="180"/>
      <c r="G27" s="180"/>
      <c r="H27" s="180"/>
      <c r="I27" s="191"/>
      <c r="J27" s="180"/>
    </row>
    <row r="28" spans="2:12" ht="15" customHeight="1">
      <c r="B28" s="439" t="s">
        <v>211</v>
      </c>
      <c r="C28" s="439"/>
      <c r="D28" s="439"/>
      <c r="E28" s="439"/>
      <c r="F28" s="439"/>
      <c r="G28" s="439"/>
      <c r="H28" s="439"/>
      <c r="I28" s="439"/>
      <c r="J28" s="439"/>
    </row>
    <row r="29" spans="2:12" ht="15" customHeight="1">
      <c r="B29" s="442" t="s">
        <v>56</v>
      </c>
      <c r="C29" s="444"/>
      <c r="D29" s="440" t="s">
        <v>45</v>
      </c>
      <c r="E29" s="441"/>
      <c r="F29" s="442" t="s">
        <v>199</v>
      </c>
      <c r="G29" s="443"/>
      <c r="H29" s="444"/>
      <c r="I29" s="270">
        <v>15</v>
      </c>
      <c r="J29" s="184" t="s">
        <v>223</v>
      </c>
    </row>
    <row r="30" spans="2:12" ht="15" customHeight="1">
      <c r="B30" s="435" t="s">
        <v>212</v>
      </c>
      <c r="C30" s="435"/>
      <c r="D30" s="271">
        <f>VLOOKUP($D$29,'Fuel Properties'!$A$7:$L$13,2,FALSE)</f>
        <v>0.81799999999999995</v>
      </c>
      <c r="E30" s="192" t="s">
        <v>39</v>
      </c>
      <c r="F30" s="435" t="s">
        <v>213</v>
      </c>
      <c r="G30" s="435"/>
      <c r="H30" s="435"/>
      <c r="I30" s="271">
        <f>VLOOKUP($D$29,'Fuel Properties'!$A$7:$L$13,3,FALSE)</f>
        <v>0</v>
      </c>
      <c r="J30" s="178" t="s">
        <v>38</v>
      </c>
    </row>
    <row r="31" spans="2:12" ht="15" customHeight="1">
      <c r="B31" s="445" t="s">
        <v>214</v>
      </c>
      <c r="C31" s="446"/>
      <c r="D31" s="271">
        <f>VLOOKUP($D$29,'Fuel Properties'!$A$7:$L$13,4,FALSE)</f>
        <v>0.182</v>
      </c>
      <c r="E31" s="178" t="s">
        <v>37</v>
      </c>
      <c r="F31" s="435" t="s">
        <v>215</v>
      </c>
      <c r="G31" s="435"/>
      <c r="H31" s="435"/>
      <c r="I31" s="271">
        <f>VLOOKUP($D$29,'Fuel Properties'!$A$7:$L$13,5,FALSE)</f>
        <v>0</v>
      </c>
      <c r="J31" s="178" t="s">
        <v>221</v>
      </c>
    </row>
    <row r="32" spans="2:12" ht="15" customHeight="1">
      <c r="B32" s="435" t="s">
        <v>216</v>
      </c>
      <c r="C32" s="435"/>
      <c r="D32" s="271">
        <f>VLOOKUP($D$29,'Fuel Properties'!$A$7:$L$13,6,FALSE)</f>
        <v>0</v>
      </c>
      <c r="E32" s="192" t="s">
        <v>222</v>
      </c>
      <c r="F32" s="435" t="s">
        <v>217</v>
      </c>
      <c r="G32" s="435"/>
      <c r="H32" s="435"/>
      <c r="I32" s="271">
        <f>VLOOKUP($D$29,'Fuel Properties'!$A$7:$L$13,7,FALSE)</f>
        <v>0</v>
      </c>
      <c r="J32" s="178"/>
    </row>
    <row r="33" spans="1:13" ht="15" customHeight="1">
      <c r="B33" s="435" t="s">
        <v>218</v>
      </c>
      <c r="C33" s="435"/>
      <c r="D33" s="271">
        <f>VLOOKUP($D$29,'Fuel Properties'!$A$7:$L$13,8,FALSE)</f>
        <v>0</v>
      </c>
      <c r="E33" s="192"/>
      <c r="F33" s="435" t="s">
        <v>219</v>
      </c>
      <c r="G33" s="435"/>
      <c r="H33" s="435"/>
      <c r="I33" s="272">
        <f>VLOOKUP($D$29,'Fuel Properties'!$A$7:$L$13,9,FALSE)</f>
        <v>21670</v>
      </c>
      <c r="J33" s="178" t="s">
        <v>169</v>
      </c>
    </row>
    <row r="34" spans="1:13" ht="15" customHeight="1">
      <c r="B34" s="454" t="s">
        <v>220</v>
      </c>
      <c r="C34" s="455"/>
      <c r="D34" s="267">
        <f>VLOOKUP($D$29,'Fuel Properties'!$A$7:$L$13,10,FALSE)</f>
        <v>44</v>
      </c>
      <c r="E34" s="185" t="s">
        <v>234</v>
      </c>
      <c r="F34" s="435" t="s">
        <v>235</v>
      </c>
      <c r="G34" s="435"/>
      <c r="H34" s="435"/>
      <c r="I34" s="271">
        <f>VLOOKUP($D$29,'Fuel Properties'!$A$7:$L$13,11,FALSE)</f>
        <v>0.04</v>
      </c>
      <c r="J34" s="192" t="s">
        <v>222</v>
      </c>
    </row>
    <row r="35" spans="1:13" ht="15" customHeight="1">
      <c r="B35" s="435" t="s">
        <v>236</v>
      </c>
      <c r="C35" s="435"/>
      <c r="D35" s="271">
        <f>VLOOKUP($D$29,'Fuel Properties'!$A$7:$L$13,12,FALSE)</f>
        <v>0.05</v>
      </c>
      <c r="E35" s="192" t="s">
        <v>222</v>
      </c>
      <c r="F35" s="273"/>
      <c r="G35" s="273"/>
      <c r="H35" s="273"/>
      <c r="I35" s="179"/>
      <c r="J35" s="273"/>
    </row>
    <row r="36" spans="1:13" ht="15" customHeight="1">
      <c r="B36" s="180"/>
      <c r="C36" s="180"/>
      <c r="D36" s="193"/>
      <c r="E36" s="180"/>
      <c r="F36" s="180"/>
      <c r="G36" s="180"/>
      <c r="H36" s="180"/>
      <c r="I36" s="191"/>
      <c r="J36" s="180"/>
    </row>
    <row r="37" spans="1:13" ht="15" customHeight="1">
      <c r="B37" s="439" t="s">
        <v>197</v>
      </c>
      <c r="C37" s="439"/>
      <c r="D37" s="439"/>
      <c r="E37" s="439"/>
      <c r="F37" s="439"/>
      <c r="G37" s="439"/>
      <c r="H37" s="439"/>
      <c r="I37" s="439"/>
      <c r="J37" s="439"/>
    </row>
    <row r="38" spans="1:13" ht="15" customHeight="1">
      <c r="B38" s="426" t="s">
        <v>175</v>
      </c>
      <c r="C38" s="426"/>
      <c r="D38" s="274">
        <f ca="1">(D15*I15*I21)/(D16*(I19+460))</f>
        <v>806.91594714372025</v>
      </c>
      <c r="E38" s="194"/>
      <c r="F38" s="426" t="s">
        <v>172</v>
      </c>
      <c r="G38" s="426"/>
      <c r="H38" s="426"/>
      <c r="I38" s="275">
        <f ca="1">D38/(F49*I6)/(I7/F49-1)*0.00006</f>
        <v>4.8414956828623268</v>
      </c>
      <c r="J38" s="194" t="s">
        <v>164</v>
      </c>
    </row>
    <row r="39" spans="1:13" ht="15" customHeight="1">
      <c r="B39" s="435" t="s">
        <v>173</v>
      </c>
      <c r="C39" s="435"/>
      <c r="D39" s="276">
        <f ca="1">D38/(F49*I6)/(1-F49/I7)*0.00006</f>
        <v>5.0963112451182289</v>
      </c>
      <c r="E39" s="175" t="s">
        <v>164</v>
      </c>
      <c r="F39" s="435" t="s">
        <v>174</v>
      </c>
      <c r="G39" s="435"/>
      <c r="H39" s="435"/>
      <c r="I39" s="277">
        <f ca="1">D38/(F49*I6)*0.00006</f>
        <v>0.25481556225591168</v>
      </c>
      <c r="J39" s="175" t="s">
        <v>164</v>
      </c>
    </row>
    <row r="40" spans="1:13" ht="15" customHeight="1">
      <c r="B40" s="180"/>
      <c r="C40" s="180"/>
      <c r="D40" s="154"/>
      <c r="E40" s="182"/>
      <c r="F40" s="180"/>
      <c r="G40" s="180"/>
      <c r="H40" s="180"/>
      <c r="I40" s="155"/>
      <c r="J40" s="182"/>
    </row>
    <row r="41" spans="1:13" ht="15" customHeight="1">
      <c r="B41" s="180"/>
      <c r="C41" s="180"/>
      <c r="D41" s="154"/>
      <c r="E41" s="182"/>
      <c r="F41" s="180"/>
      <c r="G41" s="180"/>
      <c r="H41" s="180"/>
      <c r="I41" s="155"/>
      <c r="J41" s="182"/>
    </row>
    <row r="42" spans="1:13" ht="15" customHeight="1">
      <c r="B42" s="180"/>
      <c r="C42" s="180"/>
      <c r="D42" s="154"/>
      <c r="E42" s="182"/>
      <c r="F42" s="180"/>
      <c r="G42" s="180"/>
      <c r="H42" s="180"/>
      <c r="I42" s="155"/>
      <c r="J42" s="182"/>
    </row>
    <row r="43" spans="1:13" ht="30" customHeight="1">
      <c r="A43" s="425" t="s">
        <v>124</v>
      </c>
      <c r="B43" s="425"/>
      <c r="C43" s="425"/>
      <c r="D43" s="425"/>
      <c r="E43" s="425"/>
      <c r="F43" s="425"/>
      <c r="G43" s="425"/>
      <c r="H43" s="425"/>
      <c r="I43" s="425"/>
      <c r="J43" s="425"/>
      <c r="K43" s="425"/>
    </row>
    <row r="44" spans="1:13" ht="15" customHeight="1"/>
    <row r="45" spans="1:13" ht="15" customHeight="1">
      <c r="B45" s="439" t="s">
        <v>57</v>
      </c>
      <c r="C45" s="439"/>
      <c r="D45" s="439"/>
      <c r="E45" s="439"/>
      <c r="F45" s="439"/>
      <c r="G45" s="439"/>
      <c r="H45" s="439"/>
      <c r="I45" s="439"/>
      <c r="J45" s="439"/>
    </row>
    <row r="46" spans="1:13" ht="15" customHeight="1">
      <c r="B46" s="452"/>
      <c r="C46" s="449" t="s">
        <v>100</v>
      </c>
      <c r="D46" s="450"/>
      <c r="E46" s="450"/>
      <c r="F46" s="451"/>
      <c r="G46" s="449" t="s">
        <v>82</v>
      </c>
      <c r="H46" s="450"/>
      <c r="I46" s="450"/>
      <c r="J46" s="451"/>
      <c r="M46" s="195"/>
    </row>
    <row r="47" spans="1:13" ht="15" customHeight="1">
      <c r="B47" s="453"/>
      <c r="C47" s="196" t="s">
        <v>51</v>
      </c>
      <c r="D47" s="197" t="s">
        <v>81</v>
      </c>
      <c r="E47" s="196" t="s">
        <v>50</v>
      </c>
      <c r="F47" s="197" t="s">
        <v>80</v>
      </c>
      <c r="G47" s="196" t="s">
        <v>51</v>
      </c>
      <c r="H47" s="197" t="s">
        <v>81</v>
      </c>
      <c r="I47" s="196" t="s">
        <v>50</v>
      </c>
      <c r="J47" s="197" t="s">
        <v>80</v>
      </c>
    </row>
    <row r="48" spans="1:13" ht="15" customHeight="1">
      <c r="B48" s="198" t="s">
        <v>79</v>
      </c>
      <c r="C48" s="199"/>
      <c r="D48" s="199"/>
      <c r="E48" s="199"/>
      <c r="F48" s="199"/>
      <c r="G48" s="199"/>
      <c r="H48" s="199"/>
      <c r="I48" s="199"/>
      <c r="J48" s="200"/>
    </row>
    <row r="49" spans="2:10" ht="15" customHeight="1">
      <c r="B49" s="201" t="s">
        <v>78</v>
      </c>
      <c r="C49" s="156">
        <v>1</v>
      </c>
      <c r="D49" s="157">
        <v>0.75</v>
      </c>
      <c r="E49" s="157">
        <v>0.5</v>
      </c>
      <c r="F49" s="158">
        <v>0.19</v>
      </c>
      <c r="G49" s="118">
        <f>C49</f>
        <v>1</v>
      </c>
      <c r="H49" s="119">
        <f>D49</f>
        <v>0.75</v>
      </c>
      <c r="I49" s="119">
        <f>E49</f>
        <v>0.5</v>
      </c>
      <c r="J49" s="120">
        <f>F49</f>
        <v>0.19</v>
      </c>
    </row>
    <row r="50" spans="2:10" ht="15" customHeight="1">
      <c r="B50" s="202" t="s">
        <v>237</v>
      </c>
      <c r="C50" s="63">
        <f>IF(C51=0,"-",C49*$I$6)</f>
        <v>1</v>
      </c>
      <c r="D50" s="64">
        <f>IF(D51=0,"-",D49*$I$6)</f>
        <v>0.75</v>
      </c>
      <c r="E50" s="64">
        <f>IF(E51=0,"-",E49*$I$6)</f>
        <v>0.5</v>
      </c>
      <c r="F50" s="65">
        <f>IF(F51=0,"-",F49*$I$6)</f>
        <v>0.19</v>
      </c>
      <c r="G50" s="63">
        <f ca="1">IF(G51=0,"-",IF(ISERROR(G72)=TRUE,C50,C50*C72/G72))</f>
        <v>0.97470301228989642</v>
      </c>
      <c r="H50" s="64">
        <f ca="1">IF(H51=0,"-",IF(ISERROR(H72)=TRUE,D50,D50*D72/H72))</f>
        <v>0.72817018928582589</v>
      </c>
      <c r="I50" s="64">
        <f ca="1">IF(I51=0,"-",IF(ISERROR(I72)=TRUE,E50,E50*E72/I72))</f>
        <v>0.48482744274024298</v>
      </c>
      <c r="J50" s="65">
        <f ca="1">IF(J51=0,"-",IF(ISERROR(J72)=TRUE,F50,F50*F72/J72))</f>
        <v>0.15966182363798306</v>
      </c>
    </row>
    <row r="51" spans="2:10" ht="15" customHeight="1">
      <c r="B51" s="201" t="s">
        <v>77</v>
      </c>
      <c r="C51" s="159">
        <v>1000</v>
      </c>
      <c r="D51" s="160">
        <v>1000</v>
      </c>
      <c r="E51" s="160">
        <v>1000</v>
      </c>
      <c r="F51" s="161">
        <v>100</v>
      </c>
      <c r="G51" s="121">
        <f>C51</f>
        <v>1000</v>
      </c>
      <c r="H51" s="122">
        <f>D51</f>
        <v>1000</v>
      </c>
      <c r="I51" s="122">
        <f>E51</f>
        <v>1000</v>
      </c>
      <c r="J51" s="123">
        <f>F51</f>
        <v>100</v>
      </c>
    </row>
    <row r="52" spans="2:10" ht="15" customHeight="1">
      <c r="B52" s="203" t="s">
        <v>238</v>
      </c>
      <c r="C52" s="37">
        <f>IF(C51=0,"-",C51*C50)</f>
        <v>1000</v>
      </c>
      <c r="D52" s="38">
        <f>IF(D51=0,"-",D51*D50)</f>
        <v>750</v>
      </c>
      <c r="E52" s="38">
        <f>IF(E51=0,"-",E51*E50)</f>
        <v>500</v>
      </c>
      <c r="F52" s="39">
        <f>IF(F51=0,"-",F51*F50)</f>
        <v>19</v>
      </c>
      <c r="G52" s="37">
        <f ca="1">IF(G51=0,"-",C52*C72/G72)</f>
        <v>974.70301228989638</v>
      </c>
      <c r="H52" s="38">
        <f ca="1">IF(H51=0,"-",D52*D72/H72)</f>
        <v>728.17018928582581</v>
      </c>
      <c r="I52" s="38">
        <f ca="1">IF(I51=0,"-",E52*E72/I72)</f>
        <v>484.82744274024304</v>
      </c>
      <c r="J52" s="39">
        <f ca="1">IF(J51=0,"-",F52*F72/J72)</f>
        <v>15.966182363798305</v>
      </c>
    </row>
    <row r="53" spans="2:10" ht="15" customHeight="1">
      <c r="B53" s="204" t="s">
        <v>76</v>
      </c>
      <c r="C53" s="132"/>
      <c r="D53" s="132"/>
      <c r="E53" s="132"/>
      <c r="F53" s="132"/>
      <c r="G53" s="132"/>
      <c r="H53" s="132"/>
      <c r="I53" s="132"/>
      <c r="J53" s="133"/>
    </row>
    <row r="54" spans="2:10" ht="15" customHeight="1">
      <c r="B54" s="201" t="s">
        <v>75</v>
      </c>
      <c r="C54" s="162">
        <v>0.1</v>
      </c>
      <c r="D54" s="163">
        <v>0.09</v>
      </c>
      <c r="E54" s="163">
        <v>0.08</v>
      </c>
      <c r="F54" s="164">
        <v>7.0000000000000007E-2</v>
      </c>
      <c r="G54" s="124">
        <f>IF(C51=0,"-",MIN(I34,C54))</f>
        <v>0.04</v>
      </c>
      <c r="H54" s="125">
        <f>IF(D51=0,"-",MIN(I34,D54))</f>
        <v>0.04</v>
      </c>
      <c r="I54" s="125">
        <f>IF(E51=0,"-",MIN(D35,E54))</f>
        <v>0.05</v>
      </c>
      <c r="J54" s="126">
        <f>IF(F51=0,"-",MIN(D35,F54))</f>
        <v>0.05</v>
      </c>
    </row>
    <row r="55" spans="2:10" ht="15" customHeight="1">
      <c r="B55" s="202" t="s">
        <v>74</v>
      </c>
      <c r="C55" s="165">
        <v>8.5000000000000006E-2</v>
      </c>
      <c r="D55" s="166">
        <v>0.08</v>
      </c>
      <c r="E55" s="166">
        <v>7.4999999999999997E-2</v>
      </c>
      <c r="F55" s="167">
        <v>0.06</v>
      </c>
      <c r="G55" s="52">
        <f>IF(G51=0,"-",(1-G54)*($D$30*$D$34/12.01)/(($D$30*$D$34/12.01)+($I$30*$D$34/32)+((((($D$30*$D$34/12.01)+2*($I$30*$D$34/32))/(1-G54)+0.25*($D$31*$D$34/1.008)-($D$32*$D$34/32)+($I$31*$D$34/28.016)/3.76)/(1/3.76-G54/(1-G54))))))</f>
        <v>0.11163990226715</v>
      </c>
      <c r="H55" s="53">
        <f>IF(H51=0,"-",(1-H54)*($D$30*$D$34/12.01)/(($D$30*$D$34/12.01)+($I$30*$D$34/32)+((((($D$30*$D$34/12.01)+2*($I$30*$D$34/32))/(1-H54)+0.25*($D$31*$D$34/1.008)-($D$32*$D$34/32)+($I$31*$D$34/28.016)/3.76)/(1/3.76-H54/(1-H54))))))</f>
        <v>0.11163990226715</v>
      </c>
      <c r="I55" s="53">
        <f>IF(I51=0,"-",(1-I54)*($D$30*$D$34/12.01)/(($D$30*$D$34/12.01)+($I$30*$D$34/32)+((((($D$30*$D$34/12.01)+2*($I$30*$D$34/32))/(1-I54)+0.25*($D$31*$D$34/1.008)-($D$32*$D$34/32)+($I$31*$D$34/28.016)/3.76)/(1/3.76-I54/(1-I54))))))</f>
        <v>0.10507609378405176</v>
      </c>
      <c r="J55" s="54">
        <f>IF(J51=0,"-",(1-J54)*($D$30*$D$34/12.01)/(($D$30*$D$34/12.01)+($I$30*$D$34/32)+((((($D$30*$D$34/12.01)+2*($I$30*$D$34/32))/(1-J54)+0.25*($D$31*$D$34/1.008)-($D$32*$D$34/32)+($I$31*$D$34/28.016)/3.76)/(1/3.76-J54/(1-J54))))))</f>
        <v>0.10507609378405176</v>
      </c>
    </row>
    <row r="56" spans="2:10" ht="15" customHeight="1">
      <c r="B56" s="201" t="s">
        <v>73</v>
      </c>
      <c r="C56" s="168">
        <v>8</v>
      </c>
      <c r="D56" s="169">
        <v>8</v>
      </c>
      <c r="E56" s="169">
        <v>8</v>
      </c>
      <c r="F56" s="170">
        <v>9</v>
      </c>
      <c r="G56" s="383">
        <f>IF(G51=0,"-",C56)</f>
        <v>8</v>
      </c>
      <c r="H56" s="384">
        <f>IF(H51=0,"-",D56)</f>
        <v>8</v>
      </c>
      <c r="I56" s="384">
        <f>IF(I51=0,"-",E56)</f>
        <v>8</v>
      </c>
      <c r="J56" s="385">
        <f>IF(J51=0,"-",F56)</f>
        <v>9</v>
      </c>
    </row>
    <row r="57" spans="2:10" ht="15" customHeight="1">
      <c r="B57" s="202" t="s">
        <v>72</v>
      </c>
      <c r="C57" s="171">
        <v>350</v>
      </c>
      <c r="D57" s="172">
        <v>325</v>
      </c>
      <c r="E57" s="172">
        <v>300</v>
      </c>
      <c r="F57" s="173">
        <v>300</v>
      </c>
      <c r="G57" s="55">
        <f ca="1">IF(G51=0,"-",MIN(C57,$I$19+100))</f>
        <v>350</v>
      </c>
      <c r="H57" s="56">
        <f ca="1">IF(H51=0,"-",MIN(D57,$I$19+100))</f>
        <v>325</v>
      </c>
      <c r="I57" s="56">
        <f ca="1">IF(I51=0,"-",MIN(E57,$I$19+100))</f>
        <v>300</v>
      </c>
      <c r="J57" s="57">
        <f ca="1">IF(J51=0,"-",MIN(F57,$I$19+100))</f>
        <v>300</v>
      </c>
    </row>
    <row r="58" spans="2:10" ht="15" customHeight="1">
      <c r="B58" s="201" t="s">
        <v>70</v>
      </c>
      <c r="C58" s="127">
        <f t="shared" ref="C58:J58" si="0">IF(C51=0,"-",C57-$D$10)</f>
        <v>270</v>
      </c>
      <c r="D58" s="58">
        <f t="shared" si="0"/>
        <v>245</v>
      </c>
      <c r="E58" s="58">
        <f t="shared" si="0"/>
        <v>220</v>
      </c>
      <c r="F58" s="128">
        <f t="shared" si="0"/>
        <v>220</v>
      </c>
      <c r="G58" s="127">
        <f t="shared" ca="1" si="0"/>
        <v>270</v>
      </c>
      <c r="H58" s="58">
        <f t="shared" ca="1" si="0"/>
        <v>245</v>
      </c>
      <c r="I58" s="58">
        <f t="shared" ca="1" si="0"/>
        <v>220</v>
      </c>
      <c r="J58" s="128">
        <f t="shared" ca="1" si="0"/>
        <v>220</v>
      </c>
    </row>
    <row r="59" spans="2:10" ht="15" customHeight="1">
      <c r="B59" s="198" t="s">
        <v>69</v>
      </c>
      <c r="C59" s="134"/>
      <c r="D59" s="134"/>
      <c r="E59" s="134"/>
      <c r="F59" s="134"/>
      <c r="G59" s="134"/>
      <c r="H59" s="134"/>
      <c r="I59" s="134"/>
      <c r="J59" s="135"/>
    </row>
    <row r="60" spans="2:10" ht="15" customHeight="1">
      <c r="B60" s="25" t="s">
        <v>68</v>
      </c>
      <c r="C60" s="40">
        <f t="shared" ref="C60:J60" si="1">IF(C51=0,"-",C50/$I$33*1000000/60/(1-$D$33))</f>
        <v>0.76911244423934777</v>
      </c>
      <c r="D60" s="41">
        <f t="shared" si="1"/>
        <v>0.57683433317951083</v>
      </c>
      <c r="E60" s="41">
        <f t="shared" si="1"/>
        <v>0.38455622211967389</v>
      </c>
      <c r="F60" s="42">
        <f t="shared" si="1"/>
        <v>0.14613136440547608</v>
      </c>
      <c r="G60" s="40">
        <f t="shared" ca="1" si="1"/>
        <v>0.74965621618973732</v>
      </c>
      <c r="H60" s="41">
        <f t="shared" ca="1" si="1"/>
        <v>0.56004475410385013</v>
      </c>
      <c r="I60" s="41">
        <f t="shared" ca="1" si="1"/>
        <v>0.37288681952026076</v>
      </c>
      <c r="J60" s="42">
        <f t="shared" ca="1" si="1"/>
        <v>0.12279789542992084</v>
      </c>
    </row>
    <row r="61" spans="2:10" ht="15" customHeight="1">
      <c r="B61" s="203" t="s">
        <v>67</v>
      </c>
      <c r="C61" s="43">
        <f t="shared" ref="C61:J61" si="2">IF(C51=0,"-",C60*4.76*28.96/$D$34*((1-C54)*(($D$30*$D$34/12.01)-($D$32*$D$34/32)+0.25*($D$31*$D$34/1.008))+C54*(($D$30*$D$34/12.01)+2*($I$30*$D$34/64)))/(1-2.76*C54))</f>
        <v>15.923032272880327</v>
      </c>
      <c r="D61" s="44">
        <f t="shared" si="2"/>
        <v>11.551489270271913</v>
      </c>
      <c r="E61" s="44">
        <f t="shared" si="2"/>
        <v>7.4589255192494246</v>
      </c>
      <c r="F61" s="45">
        <f t="shared" si="2"/>
        <v>2.7486996233178065</v>
      </c>
      <c r="G61" s="43">
        <f t="shared" ca="1" si="2"/>
        <v>12.945732212409489</v>
      </c>
      <c r="H61" s="44">
        <f t="shared" ca="1" si="2"/>
        <v>9.6713523572759197</v>
      </c>
      <c r="I61" s="44">
        <f t="shared" ca="1" si="2"/>
        <v>6.6186037095856696</v>
      </c>
      <c r="J61" s="45">
        <f t="shared" ca="1" si="2"/>
        <v>2.1796174165325417</v>
      </c>
    </row>
    <row r="62" spans="2:10" ht="15" customHeight="1">
      <c r="B62" s="198" t="s">
        <v>66</v>
      </c>
      <c r="C62" s="136"/>
      <c r="D62" s="136"/>
      <c r="E62" s="136"/>
      <c r="F62" s="136"/>
      <c r="G62" s="136"/>
      <c r="H62" s="136"/>
      <c r="I62" s="136"/>
      <c r="J62" s="137"/>
    </row>
    <row r="63" spans="2:10" ht="15" customHeight="1">
      <c r="B63" s="201" t="s">
        <v>65</v>
      </c>
      <c r="C63" s="129">
        <f t="shared" ref="C63:J63" si="3">IF(C51=0,"-",(44.01*C55+32*C54+28.02*(1-C55-C54-C56*0.000001)+28.01*0.000001*C56)/(12.01*(C56*0.000001+C55))*($D$30+$I$30*12.01/32.07)*0.24*C58/$I$33)</f>
        <v>7.1342729296436133E-2</v>
      </c>
      <c r="D63" s="130">
        <f t="shared" si="3"/>
        <v>6.8505962153280073E-2</v>
      </c>
      <c r="E63" s="130">
        <f t="shared" si="3"/>
        <v>6.5351214160176557E-2</v>
      </c>
      <c r="F63" s="131">
        <f t="shared" si="3"/>
        <v>8.0912114720655834E-2</v>
      </c>
      <c r="G63" s="129">
        <f t="shared" ca="1" si="3"/>
        <v>5.466134049898011E-2</v>
      </c>
      <c r="H63" s="130">
        <f t="shared" ca="1" si="3"/>
        <v>4.9600105267593064E-2</v>
      </c>
      <c r="I63" s="130">
        <f t="shared" ca="1" si="3"/>
        <v>4.7217980458631986E-2</v>
      </c>
      <c r="J63" s="131">
        <f t="shared" ca="1" si="3"/>
        <v>4.721753111193313E-2</v>
      </c>
    </row>
    <row r="64" spans="2:10" ht="15" customHeight="1">
      <c r="B64" s="202" t="s">
        <v>64</v>
      </c>
      <c r="C64" s="46">
        <f t="shared" ref="C64:J64" si="4">IF(C51=0,"-",8.936*(0.445*C57+1060.7-($D$10-32))*$D$31/$I$33)</f>
        <v>8.7693170023073377E-2</v>
      </c>
      <c r="D64" s="47">
        <f t="shared" si="4"/>
        <v>8.6858229275496079E-2</v>
      </c>
      <c r="E64" s="47">
        <f t="shared" si="4"/>
        <v>8.6023288527918768E-2</v>
      </c>
      <c r="F64" s="48">
        <f t="shared" si="4"/>
        <v>8.6023288527918768E-2</v>
      </c>
      <c r="G64" s="46">
        <f t="shared" ca="1" si="4"/>
        <v>8.7693170023073377E-2</v>
      </c>
      <c r="H64" s="47">
        <f t="shared" ca="1" si="4"/>
        <v>8.6858229275496079E-2</v>
      </c>
      <c r="I64" s="47">
        <f t="shared" ca="1" si="4"/>
        <v>8.6023288527918768E-2</v>
      </c>
      <c r="J64" s="48">
        <f t="shared" ca="1" si="4"/>
        <v>8.6023288527918768E-2</v>
      </c>
    </row>
    <row r="65" spans="2:10" ht="15" customHeight="1">
      <c r="B65" s="201" t="s">
        <v>63</v>
      </c>
      <c r="C65" s="129">
        <f t="shared" ref="C65:J65" si="5">IF(C51=0,"-",IF($D$33=0,0,($D$33*(0.445*C57+1060.7-($D$10-32)))/$I$33))</f>
        <v>0</v>
      </c>
      <c r="D65" s="130">
        <f t="shared" si="5"/>
        <v>0</v>
      </c>
      <c r="E65" s="130">
        <f t="shared" si="5"/>
        <v>0</v>
      </c>
      <c r="F65" s="131">
        <f t="shared" si="5"/>
        <v>0</v>
      </c>
      <c r="G65" s="129">
        <f t="shared" si="5"/>
        <v>0</v>
      </c>
      <c r="H65" s="130">
        <f t="shared" si="5"/>
        <v>0</v>
      </c>
      <c r="I65" s="130">
        <f t="shared" si="5"/>
        <v>0</v>
      </c>
      <c r="J65" s="131">
        <f t="shared" si="5"/>
        <v>0</v>
      </c>
    </row>
    <row r="66" spans="2:10" ht="15" customHeight="1">
      <c r="B66" s="202" t="s">
        <v>62</v>
      </c>
      <c r="C66" s="46">
        <f t="shared" ref="C66:J66" si="6">IF(C51=0,"-",C56*0.000001/(C56*0.000001+C55)*10160*$D$30/$I$33)</f>
        <v>3.609260999762795E-5</v>
      </c>
      <c r="D66" s="47">
        <f t="shared" si="6"/>
        <v>3.834817256622284E-5</v>
      </c>
      <c r="E66" s="47">
        <f t="shared" si="6"/>
        <v>4.0904444734939698E-5</v>
      </c>
      <c r="F66" s="48">
        <f t="shared" si="6"/>
        <v>5.7519383167744037E-5</v>
      </c>
      <c r="G66" s="46">
        <f t="shared" si="6"/>
        <v>2.7480682828566657E-5</v>
      </c>
      <c r="H66" s="47">
        <f t="shared" si="6"/>
        <v>2.7480682828566657E-5</v>
      </c>
      <c r="I66" s="47">
        <f t="shared" si="6"/>
        <v>2.9197193221111456E-5</v>
      </c>
      <c r="J66" s="48">
        <f t="shared" si="6"/>
        <v>3.2846529799995247E-5</v>
      </c>
    </row>
    <row r="67" spans="2:10" ht="15" customHeight="1">
      <c r="B67" s="201" t="s">
        <v>61</v>
      </c>
      <c r="C67" s="129">
        <f t="shared" ref="C67:J67" si="7">IF(C51=0,"-",$I$32)</f>
        <v>0</v>
      </c>
      <c r="D67" s="130">
        <f t="shared" si="7"/>
        <v>0</v>
      </c>
      <c r="E67" s="130">
        <f t="shared" si="7"/>
        <v>0</v>
      </c>
      <c r="F67" s="131">
        <f t="shared" si="7"/>
        <v>0</v>
      </c>
      <c r="G67" s="129">
        <f t="shared" si="7"/>
        <v>0</v>
      </c>
      <c r="H67" s="130">
        <f t="shared" si="7"/>
        <v>0</v>
      </c>
      <c r="I67" s="130">
        <f t="shared" si="7"/>
        <v>0</v>
      </c>
      <c r="J67" s="131">
        <f t="shared" si="7"/>
        <v>0</v>
      </c>
    </row>
    <row r="68" spans="2:10" ht="15" customHeight="1">
      <c r="B68" s="202" t="s">
        <v>60</v>
      </c>
      <c r="C68" s="46">
        <f t="shared" ref="C68:J68" si="8">IF(C51=0,"-",(0.445*C57+1060.7-($D$10-32))*$D$12*(C61/C60)/$I$33)</f>
        <v>1.1163160235548213E-2</v>
      </c>
      <c r="D68" s="47">
        <f t="shared" si="8"/>
        <v>1.0695061855773954E-2</v>
      </c>
      <c r="E68" s="47">
        <f t="shared" si="8"/>
        <v>1.0259304516196431E-2</v>
      </c>
      <c r="F68" s="48">
        <f t="shared" si="8"/>
        <v>9.9491352892006422E-3</v>
      </c>
      <c r="G68" s="46">
        <f t="shared" ca="1" si="8"/>
        <v>9.3114152390190563E-3</v>
      </c>
      <c r="H68" s="47">
        <f t="shared" ca="1" si="8"/>
        <v>9.2227597599364355E-3</v>
      </c>
      <c r="I68" s="47">
        <f t="shared" ca="1" si="8"/>
        <v>9.3883838700008458E-3</v>
      </c>
      <c r="J68" s="48">
        <f t="shared" ca="1" si="8"/>
        <v>9.3883838700008441E-3</v>
      </c>
    </row>
    <row r="69" spans="2:10" ht="15" customHeight="1">
      <c r="B69" s="201" t="s">
        <v>59</v>
      </c>
      <c r="C69" s="129">
        <f t="shared" ref="C69:I69" si="9">IF(C51=0,"-",1-C63-C64-C65-C66-C67-C68)</f>
        <v>0.82976484783494464</v>
      </c>
      <c r="D69" s="130">
        <f t="shared" si="9"/>
        <v>0.83390239854288362</v>
      </c>
      <c r="E69" s="130">
        <f t="shared" si="9"/>
        <v>0.83832528835097342</v>
      </c>
      <c r="F69" s="131">
        <f t="shared" si="9"/>
        <v>0.82305794207905703</v>
      </c>
      <c r="G69" s="129">
        <f ca="1">IF(G51=0,"-",1-G63-G64-G65-G66-G67-G68)</f>
        <v>0.84830659355609894</v>
      </c>
      <c r="H69" s="130">
        <f t="shared" ca="1" si="9"/>
        <v>0.85429142501414579</v>
      </c>
      <c r="I69" s="130">
        <f t="shared" ca="1" si="9"/>
        <v>0.85734114995022725</v>
      </c>
      <c r="J69" s="131">
        <f ca="1">IF(J51=0,"-",1-J63-J64-J65-J66-J67-J68)</f>
        <v>0.85733794996034729</v>
      </c>
    </row>
    <row r="70" spans="2:10" ht="15" customHeight="1">
      <c r="B70" s="202" t="s">
        <v>98</v>
      </c>
      <c r="C70" s="46">
        <f t="shared" ref="C70:J70" si="10">IF(C51=0,"-",(0.359+18.2842/$I$6-7.1088/$I$6^2)/100/C49)</f>
        <v>0.11534400000000002</v>
      </c>
      <c r="D70" s="47">
        <f t="shared" si="10"/>
        <v>0.15379200000000001</v>
      </c>
      <c r="E70" s="47">
        <f t="shared" si="10"/>
        <v>0.23068800000000003</v>
      </c>
      <c r="F70" s="48">
        <f>IF(F51=0,"-",(0.359+18.2842/$I$6-7.1088/$I$6^2)/100/F49)</f>
        <v>0.60707368421052643</v>
      </c>
      <c r="G70" s="46">
        <f t="shared" si="10"/>
        <v>0.11534400000000002</v>
      </c>
      <c r="H70" s="47">
        <f t="shared" si="10"/>
        <v>0.15379200000000001</v>
      </c>
      <c r="I70" s="47">
        <f t="shared" si="10"/>
        <v>0.23068800000000003</v>
      </c>
      <c r="J70" s="48">
        <f t="shared" si="10"/>
        <v>0.60707368421052643</v>
      </c>
    </row>
    <row r="71" spans="2:10" ht="15" customHeight="1">
      <c r="B71" s="201" t="s">
        <v>58</v>
      </c>
      <c r="C71" s="129" t="s">
        <v>71</v>
      </c>
      <c r="D71" s="130" t="s">
        <v>71</v>
      </c>
      <c r="E71" s="130" t="s">
        <v>71</v>
      </c>
      <c r="F71" s="131">
        <f ca="1">IF(F51=0,"-",D61*0.252*D11*(I19-D10)*2*D7/D6*(F49&lt;I7)/(1000000*F50))</f>
        <v>3.4902874443791032E-2</v>
      </c>
      <c r="G71" s="129" t="s">
        <v>71</v>
      </c>
      <c r="H71" s="130" t="s">
        <v>71</v>
      </c>
      <c r="I71" s="130" t="s">
        <v>71</v>
      </c>
      <c r="J71" s="131">
        <f ca="1">IF(J51=0,"-",H61*0.252*D11*(I19-D10)*2*D7/D6*(J49&lt;I7)/(1000000*J50))</f>
        <v>3.4774663622317896E-2</v>
      </c>
    </row>
    <row r="72" spans="2:10" ht="15" customHeight="1">
      <c r="B72" s="205" t="s">
        <v>57</v>
      </c>
      <c r="C72" s="49">
        <f>IF(C51=0,"-",IF(C69-C70&lt;0,0,C69-C70))</f>
        <v>0.71442084783494464</v>
      </c>
      <c r="D72" s="50">
        <f>IF(D51=0,"-",IF(D69-D70&lt;0,0,D69-D70))</f>
        <v>0.68011039854288358</v>
      </c>
      <c r="E72" s="50">
        <f>IF(E51=0,"-",IF(E69-E70&lt;0,0,E69-E70))</f>
        <v>0.60763728835097341</v>
      </c>
      <c r="F72" s="51">
        <f ca="1">IF(F51=0,"-",IF(F69-F70-F71&lt;0,0,F69-F70-F71))</f>
        <v>0.18108138342473956</v>
      </c>
      <c r="G72" s="49">
        <f ca="1">IF(G51=0,"-",IF(G69-G70&lt;0,0,G69-G70))</f>
        <v>0.73296259355609894</v>
      </c>
      <c r="H72" s="50">
        <f ca="1">IF(H51=0,"-",IF(H69-H70&lt;0,0,H69-H70))</f>
        <v>0.70049942501414575</v>
      </c>
      <c r="I72" s="50">
        <f ca="1">IF(I51=0,"-",IF(I69-I70&lt;0,0,I69-I70))</f>
        <v>0.62665314995022725</v>
      </c>
      <c r="J72" s="51">
        <f ca="1">IF(J51=0,"-",IF(J69-J70-J71&lt;0,0,J69-J70-J71))</f>
        <v>0.21548960212750295</v>
      </c>
    </row>
    <row r="75" spans="2:10">
      <c r="B75" s="278" t="s">
        <v>142</v>
      </c>
    </row>
    <row r="77" spans="2:10">
      <c r="B77" s="447" t="s">
        <v>227</v>
      </c>
      <c r="C77" s="447"/>
      <c r="D77" s="447"/>
      <c r="E77" s="447"/>
      <c r="F77" s="447"/>
      <c r="G77" s="447"/>
      <c r="H77" s="447"/>
      <c r="I77" s="447"/>
      <c r="J77" s="447"/>
    </row>
    <row r="78" spans="2:10">
      <c r="B78" s="447"/>
      <c r="C78" s="447"/>
      <c r="D78" s="447"/>
      <c r="E78" s="447"/>
      <c r="F78" s="447"/>
      <c r="G78" s="447"/>
      <c r="H78" s="447"/>
      <c r="I78" s="447"/>
      <c r="J78" s="447"/>
    </row>
    <row r="79" spans="2:10">
      <c r="B79" s="447"/>
      <c r="C79" s="447"/>
      <c r="D79" s="447"/>
      <c r="E79" s="447"/>
      <c r="F79" s="447"/>
      <c r="G79" s="447"/>
      <c r="H79" s="447"/>
      <c r="I79" s="447"/>
      <c r="J79" s="447"/>
    </row>
    <row r="81" spans="2:10">
      <c r="B81" s="314"/>
      <c r="C81" s="314"/>
      <c r="D81" s="314"/>
      <c r="E81" s="314"/>
      <c r="F81" s="314"/>
      <c r="G81" s="314"/>
      <c r="H81" s="314"/>
      <c r="I81" s="314"/>
      <c r="J81" s="314"/>
    </row>
    <row r="82" spans="2:10">
      <c r="B82" s="314"/>
      <c r="C82" s="314"/>
      <c r="D82" s="314"/>
      <c r="E82" s="314"/>
      <c r="F82" s="314"/>
      <c r="G82" s="314"/>
      <c r="H82" s="314"/>
      <c r="I82" s="314"/>
      <c r="J82" s="314"/>
    </row>
  </sheetData>
  <sheetProtection password="E0B2" sheet="1" objects="1" scenarios="1" selectLockedCells="1"/>
  <mergeCells count="63">
    <mergeCell ref="B77:J79"/>
    <mergeCell ref="A1:K1"/>
    <mergeCell ref="B35:C35"/>
    <mergeCell ref="F4:H4"/>
    <mergeCell ref="I4:J4"/>
    <mergeCell ref="D5:E5"/>
    <mergeCell ref="F6:H6"/>
    <mergeCell ref="F7:H7"/>
    <mergeCell ref="B7:C7"/>
    <mergeCell ref="F12:H12"/>
    <mergeCell ref="C46:F46"/>
    <mergeCell ref="G46:J46"/>
    <mergeCell ref="B46:B47"/>
    <mergeCell ref="B34:C34"/>
    <mergeCell ref="F34:H34"/>
    <mergeCell ref="B38:C38"/>
    <mergeCell ref="B39:C39"/>
    <mergeCell ref="F38:H38"/>
    <mergeCell ref="F39:H39"/>
    <mergeCell ref="B32:C32"/>
    <mergeCell ref="F32:H32"/>
    <mergeCell ref="B3:J3"/>
    <mergeCell ref="B9:J9"/>
    <mergeCell ref="B14:J14"/>
    <mergeCell ref="B37:J37"/>
    <mergeCell ref="B18:J18"/>
    <mergeCell ref="F21:H21"/>
    <mergeCell ref="B33:C33"/>
    <mergeCell ref="F33:H33"/>
    <mergeCell ref="F26:H26"/>
    <mergeCell ref="B20:C20"/>
    <mergeCell ref="B21:C21"/>
    <mergeCell ref="F19:H19"/>
    <mergeCell ref="B23:J23"/>
    <mergeCell ref="F24:H24"/>
    <mergeCell ref="F20:H20"/>
    <mergeCell ref="B28:J28"/>
    <mergeCell ref="D4:E4"/>
    <mergeCell ref="B4:C4"/>
    <mergeCell ref="B5:C5"/>
    <mergeCell ref="B6:C6"/>
    <mergeCell ref="B45:J45"/>
    <mergeCell ref="A43:K43"/>
    <mergeCell ref="B25:C25"/>
    <mergeCell ref="F25:H25"/>
    <mergeCell ref="B26:C26"/>
    <mergeCell ref="D29:E29"/>
    <mergeCell ref="F29:H29"/>
    <mergeCell ref="B30:C30"/>
    <mergeCell ref="F30:H30"/>
    <mergeCell ref="B31:C31"/>
    <mergeCell ref="F31:H31"/>
    <mergeCell ref="B29:C29"/>
    <mergeCell ref="F15:H15"/>
    <mergeCell ref="F16:H16"/>
    <mergeCell ref="F5:H5"/>
    <mergeCell ref="B10:C10"/>
    <mergeCell ref="F10:H10"/>
    <mergeCell ref="B12:C12"/>
    <mergeCell ref="B11:C11"/>
    <mergeCell ref="F11:H11"/>
    <mergeCell ref="B16:C16"/>
    <mergeCell ref="B15:C15"/>
  </mergeCells>
  <dataValidations xWindow="506" yWindow="453" count="9">
    <dataValidation type="list" allowBlank="1" showInputMessage="1" showErrorMessage="1" sqref="D29">
      <formula1>'Fuel Properties'!A7:A13</formula1>
    </dataValidation>
    <dataValidation type="list" allowBlank="1" showInputMessage="1" showErrorMessage="1" sqref="D5">
      <formula1>"Full Modulating,Low-High-Off,On-Off"</formula1>
    </dataValidation>
    <dataValidation allowBlank="1" showInputMessage="1" showErrorMessage="1" prompt="Default value is 30 seconds" sqref="D7"/>
    <dataValidation allowBlank="1" showInputMessage="1" showErrorMessage="1" prompt="Default Value is 20%" sqref="I7"/>
    <dataValidation allowBlank="1" showInputMessage="1" showErrorMessage="1" prompt="Default Value is 80F" sqref="D10"/>
    <dataValidation allowBlank="1" showInputMessage="1" showErrorMessage="1" prompt="Default Value is 50F" sqref="I10"/>
    <dataValidation allowBlank="1" showInputMessage="1" showErrorMessage="1" prompt="Default Value is 75%" sqref="D11"/>
    <dataValidation allowBlank="1" showInputMessage="1" showErrorMessage="1" prompt="Default Value is 10 psi" sqref="D15"/>
    <dataValidation allowBlank="1" showInputMessage="1" showErrorMessage="1" prompt="Default Value is 0.2 ft3/Boiler Hp" sqref="I15"/>
  </dataValidations>
  <printOptions horizontalCentered="1"/>
  <pageMargins left="0.2" right="0.2" top="0.75" bottom="0.75" header="0.3" footer="0.3"/>
  <pageSetup orientation="portrait" r:id="rId1"/>
  <rowBreaks count="1" manualBreakCount="1">
    <brk id="42" max="10" man="1"/>
  </rowBreaks>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dimension ref="A1:N79"/>
  <sheetViews>
    <sheetView view="pageBreakPreview" zoomScaleNormal="100" zoomScaleSheetLayoutView="100" workbookViewId="0">
      <selection activeCell="D4" sqref="D4:E4"/>
    </sheetView>
  </sheetViews>
  <sheetFormatPr defaultRowHeight="15"/>
  <cols>
    <col min="1" max="1" width="1.42578125" style="67" customWidth="1"/>
    <col min="2" max="2" width="19.140625" style="67" customWidth="1"/>
    <col min="3" max="10" width="9.5703125" style="67" customWidth="1"/>
    <col min="11" max="11" width="1.42578125" style="67" customWidth="1"/>
    <col min="12" max="16" width="9.28515625" style="67" customWidth="1"/>
    <col min="17" max="16384" width="9.140625" style="67"/>
  </cols>
  <sheetData>
    <row r="1" spans="1:14" ht="30" customHeight="1">
      <c r="A1" s="425" t="s">
        <v>124</v>
      </c>
      <c r="B1" s="425"/>
      <c r="C1" s="425"/>
      <c r="D1" s="425"/>
      <c r="E1" s="425"/>
      <c r="F1" s="425"/>
      <c r="G1" s="425"/>
      <c r="H1" s="425"/>
      <c r="I1" s="425"/>
      <c r="J1" s="425"/>
      <c r="K1" s="425"/>
      <c r="L1" s="174"/>
      <c r="M1" s="174"/>
    </row>
    <row r="2" spans="1:14" ht="15" customHeight="1"/>
    <row r="3" spans="1:14" ht="15" customHeight="1">
      <c r="B3" s="439" t="s">
        <v>194</v>
      </c>
      <c r="C3" s="439"/>
      <c r="D3" s="439"/>
      <c r="E3" s="439"/>
      <c r="F3" s="439"/>
      <c r="G3" s="439"/>
      <c r="H3" s="439"/>
      <c r="I3" s="439"/>
      <c r="J3" s="439"/>
    </row>
    <row r="4" spans="1:14" ht="15" customHeight="1">
      <c r="B4" s="428" t="s">
        <v>96</v>
      </c>
      <c r="C4" s="430"/>
      <c r="D4" s="437"/>
      <c r="E4" s="438"/>
      <c r="F4" s="432" t="s">
        <v>239</v>
      </c>
      <c r="G4" s="432"/>
      <c r="H4" s="432"/>
      <c r="I4" s="448" t="s">
        <v>243</v>
      </c>
      <c r="J4" s="448"/>
      <c r="K4" s="68"/>
    </row>
    <row r="5" spans="1:14" ht="15" customHeight="1">
      <c r="B5" s="432" t="s">
        <v>95</v>
      </c>
      <c r="C5" s="432"/>
      <c r="D5" s="437" t="s">
        <v>244</v>
      </c>
      <c r="E5" s="438"/>
      <c r="F5" s="428" t="s">
        <v>77</v>
      </c>
      <c r="G5" s="429"/>
      <c r="H5" s="430"/>
      <c r="I5" s="247">
        <f>SUM(C51:F51)</f>
        <v>1000</v>
      </c>
      <c r="J5" s="175" t="s">
        <v>92</v>
      </c>
    </row>
    <row r="6" spans="1:14" ht="15" customHeight="1">
      <c r="B6" s="434" t="s">
        <v>176</v>
      </c>
      <c r="C6" s="434"/>
      <c r="D6" s="249">
        <f ca="1">D38/((I7-F49)*I6)*(I7/F49)*0.00006</f>
        <v>0.96829913657246425</v>
      </c>
      <c r="E6" s="176" t="s">
        <v>164</v>
      </c>
      <c r="F6" s="434" t="s">
        <v>94</v>
      </c>
      <c r="G6" s="434"/>
      <c r="H6" s="434"/>
      <c r="I6" s="251">
        <v>5</v>
      </c>
      <c r="J6" s="177" t="s">
        <v>93</v>
      </c>
    </row>
    <row r="7" spans="1:14" ht="15" customHeight="1">
      <c r="B7" s="435" t="s">
        <v>162</v>
      </c>
      <c r="C7" s="435"/>
      <c r="D7" s="252">
        <v>30</v>
      </c>
      <c r="E7" s="178" t="s">
        <v>163</v>
      </c>
      <c r="F7" s="432" t="s">
        <v>160</v>
      </c>
      <c r="G7" s="432"/>
      <c r="H7" s="432"/>
      <c r="I7" s="254">
        <v>0.2</v>
      </c>
      <c r="J7" s="248"/>
      <c r="N7" s="179"/>
    </row>
    <row r="8" spans="1:14" ht="15" customHeight="1">
      <c r="B8" s="188"/>
      <c r="C8" s="188"/>
      <c r="D8" s="181"/>
      <c r="E8" s="188"/>
      <c r="F8" s="182"/>
      <c r="G8" s="182"/>
      <c r="H8" s="182"/>
      <c r="I8" s="183"/>
      <c r="J8" s="182"/>
      <c r="N8" s="179"/>
    </row>
    <row r="9" spans="1:14" ht="15" customHeight="1">
      <c r="B9" s="439" t="s">
        <v>195</v>
      </c>
      <c r="C9" s="439"/>
      <c r="D9" s="439"/>
      <c r="E9" s="439"/>
      <c r="F9" s="439"/>
      <c r="G9" s="439"/>
      <c r="H9" s="439"/>
      <c r="I9" s="439"/>
      <c r="J9" s="439"/>
    </row>
    <row r="10" spans="1:14" ht="15" customHeight="1">
      <c r="B10" s="426" t="s">
        <v>91</v>
      </c>
      <c r="C10" s="426"/>
      <c r="D10" s="255">
        <v>80</v>
      </c>
      <c r="E10" s="256" t="s">
        <v>226</v>
      </c>
      <c r="F10" s="431" t="s">
        <v>198</v>
      </c>
      <c r="G10" s="431"/>
      <c r="H10" s="431"/>
      <c r="I10" s="257">
        <v>50</v>
      </c>
      <c r="J10" s="184" t="s">
        <v>83</v>
      </c>
    </row>
    <row r="11" spans="1:14" ht="15" customHeight="1">
      <c r="B11" s="433" t="s">
        <v>161</v>
      </c>
      <c r="C11" s="433"/>
      <c r="D11" s="258">
        <v>0.75</v>
      </c>
      <c r="E11" s="250"/>
      <c r="F11" s="434" t="s">
        <v>86</v>
      </c>
      <c r="G11" s="434"/>
      <c r="H11" s="434"/>
      <c r="I11" s="259">
        <f>-0.0000000000000723527*I12^3+0.00000000795644*I12^2-0.00053178*I12+14.6958</f>
        <v>14.6958</v>
      </c>
      <c r="J11" s="185" t="s">
        <v>85</v>
      </c>
    </row>
    <row r="12" spans="1:14" ht="15" customHeight="1">
      <c r="B12" s="432" t="s">
        <v>88</v>
      </c>
      <c r="C12" s="432"/>
      <c r="D12" s="260">
        <v>0.01</v>
      </c>
      <c r="E12" s="253" t="s">
        <v>87</v>
      </c>
      <c r="F12" s="435" t="s">
        <v>90</v>
      </c>
      <c r="G12" s="435"/>
      <c r="H12" s="435"/>
      <c r="I12" s="260">
        <v>0</v>
      </c>
      <c r="J12" s="175" t="s">
        <v>89</v>
      </c>
    </row>
    <row r="13" spans="1:14" ht="15" customHeight="1">
      <c r="B13" s="182"/>
      <c r="C13" s="182"/>
      <c r="D13" s="186"/>
      <c r="E13" s="188"/>
      <c r="F13" s="188"/>
      <c r="G13" s="188"/>
      <c r="H13" s="188"/>
      <c r="I13" s="186"/>
      <c r="J13" s="182"/>
    </row>
    <row r="14" spans="1:14" ht="15" customHeight="1">
      <c r="B14" s="439" t="s">
        <v>196</v>
      </c>
      <c r="C14" s="439"/>
      <c r="D14" s="439"/>
      <c r="E14" s="439"/>
      <c r="F14" s="439"/>
      <c r="G14" s="439"/>
      <c r="H14" s="439"/>
      <c r="I14" s="439"/>
      <c r="J14" s="439"/>
    </row>
    <row r="15" spans="1:14" ht="15" customHeight="1">
      <c r="A15" s="87"/>
      <c r="B15" s="436" t="s">
        <v>165</v>
      </c>
      <c r="C15" s="436"/>
      <c r="D15" s="261">
        <v>10</v>
      </c>
      <c r="E15" s="187" t="s">
        <v>166</v>
      </c>
      <c r="F15" s="426" t="s">
        <v>167</v>
      </c>
      <c r="G15" s="426"/>
      <c r="H15" s="426"/>
      <c r="I15" s="262">
        <f>I6*29.876249572*0.2</f>
        <v>29.876249572000003</v>
      </c>
      <c r="J15" s="184" t="s">
        <v>168</v>
      </c>
    </row>
    <row r="16" spans="1:14" ht="15" customHeight="1">
      <c r="B16" s="435" t="s">
        <v>171</v>
      </c>
      <c r="C16" s="435"/>
      <c r="D16" s="309">
        <f>1.986/18</f>
        <v>0.11033333333333334</v>
      </c>
      <c r="E16" s="178" t="s">
        <v>170</v>
      </c>
      <c r="F16" s="427"/>
      <c r="G16" s="427"/>
      <c r="H16" s="427"/>
      <c r="I16" s="68"/>
    </row>
    <row r="17" spans="2:12" ht="15" customHeight="1">
      <c r="B17" s="188"/>
      <c r="C17" s="188"/>
      <c r="D17" s="189"/>
      <c r="E17" s="188"/>
      <c r="F17" s="188"/>
      <c r="G17" s="188"/>
      <c r="H17" s="188"/>
      <c r="I17" s="68"/>
    </row>
    <row r="18" spans="2:12" ht="15" customHeight="1">
      <c r="B18" s="439" t="s">
        <v>200</v>
      </c>
      <c r="C18" s="439"/>
      <c r="D18" s="439"/>
      <c r="E18" s="439"/>
      <c r="F18" s="439"/>
      <c r="G18" s="439"/>
      <c r="H18" s="439"/>
      <c r="I18" s="439"/>
      <c r="J18" s="439"/>
    </row>
    <row r="19" spans="2:12" ht="15" customHeight="1">
      <c r="B19" s="263" t="s">
        <v>207</v>
      </c>
      <c r="C19" s="264"/>
      <c r="D19" s="265">
        <v>100</v>
      </c>
      <c r="E19" s="184" t="s">
        <v>84</v>
      </c>
      <c r="F19" s="442" t="s">
        <v>208</v>
      </c>
      <c r="G19" s="443"/>
      <c r="H19" s="444"/>
      <c r="I19" s="284">
        <f ca="1">(OFFSET('Steam Properties'!$A$5,MATCH(D19,'Steam Properties'!$A$5:'Steam Properties'!$A$129,TRUE),1,1,1)-VLOOKUP(D19,'Steam Properties'!$A$5:'Steam Properties'!$F$129,2,TRUE))/(OFFSET('Steam Properties'!$A$5,MATCH(D19,'Steam Properties'!$A$5:'Steam Properties'!$A$129,TRUE),0,1,1)-VLOOKUP(D19,'Steam Properties'!$A$5:'Steam Properties'!$F$129,1,TRUE))*(D19-VLOOKUP(D19,'Steam Properties'!$A$5:'Steam Properties'!$F$129,1,TRUE))+VLOOKUP(D19,'Steam Properties'!$A$5:'Steam Properties'!$F$129,2,TRUE)</f>
        <v>338</v>
      </c>
      <c r="J19" s="184" t="s">
        <v>83</v>
      </c>
      <c r="L19" s="284"/>
    </row>
    <row r="20" spans="2:12" ht="15" customHeight="1">
      <c r="B20" s="433" t="s">
        <v>204</v>
      </c>
      <c r="C20" s="433"/>
      <c r="D20" s="266">
        <f ca="1">(OFFSET('Steam Properties'!$A$5,MATCH(D19,'Steam Properties'!$A$5:'Steam Properties'!$A$129,TRUE),1,1,1)-VLOOKUP(D19,'Steam Properties'!$A$5:'Steam Properties'!$F$129,3,TRUE))/(OFFSET('Steam Properties'!$A$5,MATCH(D19,'Steam Properties'!$A$5:'Steam Properties'!$A$129,TRUE),0,1,1)-VLOOKUP(D19,'Steam Properties'!$A$5:'Steam Properties'!$F$129,1,TRUE))*(D19-VLOOKUP(D19,'Steam Properties'!$A$5:'Steam Properties'!$F$129,1,TRUE))+VLOOKUP(D19,'Steam Properties'!$A$5:'Steam Properties'!$F$129,3,TRUE)</f>
        <v>3.89</v>
      </c>
      <c r="E20" s="190" t="s">
        <v>205</v>
      </c>
      <c r="F20" s="433" t="s">
        <v>202</v>
      </c>
      <c r="G20" s="433"/>
      <c r="H20" s="433"/>
      <c r="I20" s="267">
        <f ca="1">(OFFSET('Steam Properties'!$A$5,MATCH(D19,'Steam Properties'!$A$5:'Steam Properties'!$A$129,TRUE),1,1,1)-VLOOKUP(D19,'Steam Properties'!$A$5:'Steam Properties'!$F$129,4,TRUE))/(OFFSET('Steam Properties'!$A$5,MATCH(D19,'Steam Properties'!$A$5:'Steam Properties'!$A$129,TRUE),0,1,1)-VLOOKUP(D19,'Steam Properties'!$A$5:'Steam Properties'!$F$129,1,TRUE))*(D19-VLOOKUP(D19,'Steam Properties'!$A$5:'Steam Properties'!$F$129,1,TRUE))+VLOOKUP(D19,'Steam Properties'!$A$5:'Steam Properties'!$F$129,4,TRUE)</f>
        <v>309</v>
      </c>
      <c r="J20" s="185" t="s">
        <v>169</v>
      </c>
    </row>
    <row r="21" spans="2:12" ht="15" customHeight="1">
      <c r="B21" s="435" t="s">
        <v>201</v>
      </c>
      <c r="C21" s="435"/>
      <c r="D21" s="268">
        <f ca="1">(OFFSET('Steam Properties'!$A$5,MATCH(D19,'Steam Properties'!$A$5:'Steam Properties'!$A$129,TRUE),1,1,1)-VLOOKUP(D19,'Steam Properties'!$A$5:'Steam Properties'!$F$129,5,TRUE))/(OFFSET('Steam Properties'!$A$5,MATCH(D19,'Steam Properties'!$A$5:'Steam Properties'!$A$129,TRUE),0,1,1)-VLOOKUP(D19,'Steam Properties'!$A$5:'Steam Properties'!$F$129,1,TRUE))*(D19-VLOOKUP(D19,'Steam Properties'!$A$5:'Steam Properties'!$F$129,1,TRUE))+VLOOKUP(D19,'Steam Properties'!$A$5:'Steam Properties'!$F$129,5,TRUE)</f>
        <v>880</v>
      </c>
      <c r="E21" s="178" t="s">
        <v>169</v>
      </c>
      <c r="F21" s="435" t="s">
        <v>203</v>
      </c>
      <c r="G21" s="435"/>
      <c r="H21" s="435"/>
      <c r="I21" s="269">
        <f ca="1">(OFFSET('Steam Properties'!$A$5,MATCH(D19,'Steam Properties'!$A$5:'Steam Properties'!$A$129,TRUE),1,1,1)-VLOOKUP(D19,'Steam Properties'!$A$5:'Steam Properties'!$F$129,6,TRUE))/(OFFSET('Steam Properties'!$A$5,MATCH(D19,'Steam Properties'!$A$5:'Steam Properties'!$A$129,TRUE),0,1,1)-VLOOKUP(D19,'Steam Properties'!$A$5:'Steam Properties'!$F$129,1,TRUE))*(D19-VLOOKUP(D19,'Steam Properties'!$A$5:'Steam Properties'!$F$129,1,TRUE))+VLOOKUP(D19,'Steam Properties'!$A$5:'Steam Properties'!$F$129,6,TRUE)</f>
        <v>1189</v>
      </c>
      <c r="J21" s="178" t="s">
        <v>169</v>
      </c>
    </row>
    <row r="22" spans="2:12" ht="15" customHeight="1">
      <c r="B22" s="188"/>
      <c r="C22" s="188"/>
      <c r="D22" s="191"/>
      <c r="E22" s="188"/>
      <c r="F22" s="188"/>
      <c r="G22" s="188"/>
      <c r="H22" s="188"/>
      <c r="I22" s="153"/>
      <c r="J22" s="188"/>
    </row>
    <row r="23" spans="2:12" ht="15" customHeight="1">
      <c r="B23" s="439" t="s">
        <v>206</v>
      </c>
      <c r="C23" s="439"/>
      <c r="D23" s="439"/>
      <c r="E23" s="439"/>
      <c r="F23" s="439"/>
      <c r="G23" s="439"/>
      <c r="H23" s="439"/>
      <c r="I23" s="439"/>
      <c r="J23" s="439"/>
    </row>
    <row r="24" spans="2:12" ht="15" customHeight="1">
      <c r="B24" s="263" t="s">
        <v>209</v>
      </c>
      <c r="C24" s="264"/>
      <c r="D24" s="265">
        <v>100</v>
      </c>
      <c r="E24" s="184" t="s">
        <v>84</v>
      </c>
      <c r="F24" s="442" t="s">
        <v>210</v>
      </c>
      <c r="G24" s="443"/>
      <c r="H24" s="444"/>
      <c r="I24" s="284">
        <f ca="1">(OFFSET('Steam Properties'!$A$5,MATCH(D24,'Steam Properties'!$A$5:'Steam Properties'!$A$129,TRUE),1,1,1)-VLOOKUP(D24,'Steam Properties'!$A$5:'Steam Properties'!$F$129,2,TRUE))/(OFFSET('Steam Properties'!$A$5,MATCH(D24,'Steam Properties'!$A$5:'Steam Properties'!$A$129,TRUE),0,1,1)-VLOOKUP(D24,'Steam Properties'!$A$5:'Steam Properties'!$F$129,1,TRUE))*(D24-VLOOKUP(D24,'Steam Properties'!$A$5:'Steam Properties'!$F$129,1,TRUE))+VLOOKUP(D24,'Steam Properties'!$A$5:'Steam Properties'!$F$129,2,TRUE)</f>
        <v>338</v>
      </c>
      <c r="J24" s="184" t="s">
        <v>83</v>
      </c>
      <c r="L24" s="284"/>
    </row>
    <row r="25" spans="2:12" ht="15" customHeight="1">
      <c r="B25" s="433" t="s">
        <v>204</v>
      </c>
      <c r="C25" s="433"/>
      <c r="D25" s="266">
        <f ca="1">(OFFSET('Steam Properties'!$A$5,MATCH(D24,'Steam Properties'!$A$5:'Steam Properties'!$A$129,TRUE),1,1,1)-VLOOKUP(D24,'Steam Properties'!$A$5:'Steam Properties'!$F$129,3,TRUE))/(OFFSET('Steam Properties'!$A$5,MATCH(D24,'Steam Properties'!$A$5:'Steam Properties'!$A$129,TRUE),0,1,1)-VLOOKUP(D24,'Steam Properties'!$A$5:'Steam Properties'!$F$129,1,TRUE))*(D24-VLOOKUP(D24,'Steam Properties'!$A$5:'Steam Properties'!$F$129,1,TRUE))+VLOOKUP(D24,'Steam Properties'!$A$5:'Steam Properties'!$F$129,3,TRUE)</f>
        <v>3.89</v>
      </c>
      <c r="E25" s="190" t="s">
        <v>205</v>
      </c>
      <c r="F25" s="433" t="s">
        <v>202</v>
      </c>
      <c r="G25" s="433"/>
      <c r="H25" s="433"/>
      <c r="I25" s="267">
        <f ca="1">(OFFSET('Steam Properties'!$A$5,MATCH(D24,'Steam Properties'!$A$5:'Steam Properties'!$A$129,TRUE),1,1,1)-VLOOKUP(D24,'Steam Properties'!$A$5:'Steam Properties'!$F$129,4,TRUE))/(OFFSET('Steam Properties'!$A$5,MATCH(D24,'Steam Properties'!$A$5:'Steam Properties'!$A$129,TRUE),0,1,1)-VLOOKUP(D24,'Steam Properties'!$A$5:'Steam Properties'!$F$129,1,TRUE))*(D24-VLOOKUP(D24,'Steam Properties'!$A$5:'Steam Properties'!$F$129,1,TRUE))+VLOOKUP(D24,'Steam Properties'!$A$5:'Steam Properties'!$F$129,4,TRUE)</f>
        <v>309</v>
      </c>
      <c r="J25" s="185" t="s">
        <v>169</v>
      </c>
    </row>
    <row r="26" spans="2:12" ht="15" customHeight="1">
      <c r="B26" s="435" t="s">
        <v>201</v>
      </c>
      <c r="C26" s="435"/>
      <c r="D26" s="268">
        <f ca="1">(OFFSET('Steam Properties'!$A$5,MATCH(D24,'Steam Properties'!$A$5:'Steam Properties'!$A$129,TRUE),1,1,1)-VLOOKUP(D24,'Steam Properties'!$A$5:'Steam Properties'!$F$129,5,TRUE))/(OFFSET('Steam Properties'!$A$5,MATCH(D24,'Steam Properties'!$A$5:'Steam Properties'!$A$129,TRUE),0,1,1)-VLOOKUP(D24,'Steam Properties'!$A$5:'Steam Properties'!$F$129,1,TRUE))*(D24-VLOOKUP(D24,'Steam Properties'!$A$5:'Steam Properties'!$F$129,1,TRUE))+VLOOKUP(D24,'Steam Properties'!$A$5:'Steam Properties'!$F$129,5,TRUE)</f>
        <v>880</v>
      </c>
      <c r="E26" s="178" t="s">
        <v>169</v>
      </c>
      <c r="F26" s="435" t="s">
        <v>203</v>
      </c>
      <c r="G26" s="435"/>
      <c r="H26" s="435"/>
      <c r="I26" s="268">
        <f ca="1">(OFFSET('Steam Properties'!$A$5,MATCH(D24,'Steam Properties'!$A$5:'Steam Properties'!$A$129,TRUE),1,1,1)-VLOOKUP(D24,'Steam Properties'!$A$5:'Steam Properties'!$F$129,6,TRUE))/(OFFSET('Steam Properties'!$A$5,MATCH(D24,'Steam Properties'!$A$5:'Steam Properties'!$A$129,TRUE),0,1,1)-VLOOKUP(D24,'Steam Properties'!$A$5:'Steam Properties'!$F$129,1,TRUE))*(D24-VLOOKUP(D24,'Steam Properties'!$A$5:'Steam Properties'!$F$129,1,TRUE))+VLOOKUP(D24,'Steam Properties'!$A$5:'Steam Properties'!$F$129,6,TRUE)</f>
        <v>1189</v>
      </c>
      <c r="J26" s="178" t="s">
        <v>169</v>
      </c>
    </row>
    <row r="27" spans="2:12" ht="15" customHeight="1">
      <c r="B27" s="188"/>
      <c r="C27" s="188"/>
      <c r="D27" s="191"/>
      <c r="E27" s="188"/>
      <c r="F27" s="188"/>
      <c r="G27" s="188"/>
      <c r="H27" s="188"/>
      <c r="I27" s="191"/>
      <c r="J27" s="188"/>
    </row>
    <row r="28" spans="2:12" ht="15" customHeight="1">
      <c r="B28" s="439" t="s">
        <v>211</v>
      </c>
      <c r="C28" s="439"/>
      <c r="D28" s="439"/>
      <c r="E28" s="439"/>
      <c r="F28" s="439"/>
      <c r="G28" s="439"/>
      <c r="H28" s="439"/>
      <c r="I28" s="439"/>
      <c r="J28" s="439"/>
    </row>
    <row r="29" spans="2:12" ht="15" customHeight="1">
      <c r="B29" s="442" t="s">
        <v>56</v>
      </c>
      <c r="C29" s="444"/>
      <c r="D29" s="440" t="s">
        <v>45</v>
      </c>
      <c r="E29" s="441"/>
      <c r="F29" s="442" t="s">
        <v>199</v>
      </c>
      <c r="G29" s="443"/>
      <c r="H29" s="444"/>
      <c r="I29" s="270">
        <v>15</v>
      </c>
      <c r="J29" s="184" t="s">
        <v>223</v>
      </c>
    </row>
    <row r="30" spans="2:12" ht="15" customHeight="1">
      <c r="B30" s="435" t="s">
        <v>212</v>
      </c>
      <c r="C30" s="435"/>
      <c r="D30" s="271">
        <f>VLOOKUP($D$29,'Fuel Properties'!$A$7:$L$13,2,FALSE)</f>
        <v>0.81799999999999995</v>
      </c>
      <c r="E30" s="192" t="s">
        <v>39</v>
      </c>
      <c r="F30" s="435" t="s">
        <v>213</v>
      </c>
      <c r="G30" s="435"/>
      <c r="H30" s="435"/>
      <c r="I30" s="271">
        <f>VLOOKUP($D$29,'Fuel Properties'!$A$7:$L$13,3,FALSE)</f>
        <v>0</v>
      </c>
      <c r="J30" s="178" t="s">
        <v>38</v>
      </c>
    </row>
    <row r="31" spans="2:12" ht="15" customHeight="1">
      <c r="B31" s="445" t="s">
        <v>214</v>
      </c>
      <c r="C31" s="446"/>
      <c r="D31" s="271">
        <f>VLOOKUP($D$29,'Fuel Properties'!$A$7:$L$13,4,FALSE)</f>
        <v>0.182</v>
      </c>
      <c r="E31" s="178" t="s">
        <v>37</v>
      </c>
      <c r="F31" s="435" t="s">
        <v>215</v>
      </c>
      <c r="G31" s="435"/>
      <c r="H31" s="435"/>
      <c r="I31" s="271">
        <f>VLOOKUP($D$29,'Fuel Properties'!$A$7:$L$13,5,FALSE)</f>
        <v>0</v>
      </c>
      <c r="J31" s="178" t="s">
        <v>221</v>
      </c>
    </row>
    <row r="32" spans="2:12" ht="15" customHeight="1">
      <c r="B32" s="435" t="s">
        <v>216</v>
      </c>
      <c r="C32" s="435"/>
      <c r="D32" s="271">
        <f>VLOOKUP($D$29,'Fuel Properties'!$A$7:$L$13,6,FALSE)</f>
        <v>0</v>
      </c>
      <c r="E32" s="192" t="s">
        <v>222</v>
      </c>
      <c r="F32" s="435" t="s">
        <v>217</v>
      </c>
      <c r="G32" s="435"/>
      <c r="H32" s="435"/>
      <c r="I32" s="271">
        <f>VLOOKUP($D$29,'Fuel Properties'!$A$7:$L$13,7,FALSE)</f>
        <v>0</v>
      </c>
      <c r="J32" s="178"/>
    </row>
    <row r="33" spans="1:13" ht="15" customHeight="1">
      <c r="B33" s="435" t="s">
        <v>218</v>
      </c>
      <c r="C33" s="435"/>
      <c r="D33" s="271">
        <f>VLOOKUP($D$29,'Fuel Properties'!$A$7:$L$13,8,FALSE)</f>
        <v>0</v>
      </c>
      <c r="E33" s="192"/>
      <c r="F33" s="435" t="s">
        <v>219</v>
      </c>
      <c r="G33" s="435"/>
      <c r="H33" s="435"/>
      <c r="I33" s="272">
        <f>VLOOKUP($D$29,'Fuel Properties'!$A$7:$L$13,9,FALSE)</f>
        <v>21670</v>
      </c>
      <c r="J33" s="178" t="s">
        <v>169</v>
      </c>
    </row>
    <row r="34" spans="1:13" ht="15" customHeight="1">
      <c r="B34" s="454" t="s">
        <v>220</v>
      </c>
      <c r="C34" s="455"/>
      <c r="D34" s="267">
        <f>VLOOKUP($D$29,'Fuel Properties'!$A$7:$L$13,10,FALSE)</f>
        <v>44</v>
      </c>
      <c r="E34" s="185" t="s">
        <v>234</v>
      </c>
      <c r="F34" s="435" t="s">
        <v>235</v>
      </c>
      <c r="G34" s="435"/>
      <c r="H34" s="435"/>
      <c r="I34" s="271">
        <f>VLOOKUP($D$29,'Fuel Properties'!$A$7:$L$13,11,FALSE)</f>
        <v>0.04</v>
      </c>
      <c r="J34" s="192" t="s">
        <v>222</v>
      </c>
    </row>
    <row r="35" spans="1:13" ht="15" customHeight="1">
      <c r="B35" s="435" t="s">
        <v>236</v>
      </c>
      <c r="C35" s="435"/>
      <c r="D35" s="271">
        <f>VLOOKUP($D$29,'Fuel Properties'!$A$7:$L$13,12,FALSE)</f>
        <v>0.05</v>
      </c>
      <c r="E35" s="192" t="s">
        <v>222</v>
      </c>
      <c r="F35" s="273"/>
      <c r="G35" s="273"/>
      <c r="H35" s="273"/>
      <c r="I35" s="179"/>
      <c r="J35" s="273"/>
    </row>
    <row r="36" spans="1:13" ht="15" customHeight="1">
      <c r="B36" s="188"/>
      <c r="C36" s="188"/>
      <c r="D36" s="193"/>
      <c r="E36" s="188"/>
      <c r="F36" s="188"/>
      <c r="G36" s="188"/>
      <c r="H36" s="188"/>
      <c r="I36" s="191"/>
      <c r="J36" s="188"/>
    </row>
    <row r="37" spans="1:13" ht="15" customHeight="1">
      <c r="B37" s="439" t="s">
        <v>197</v>
      </c>
      <c r="C37" s="439"/>
      <c r="D37" s="439"/>
      <c r="E37" s="439"/>
      <c r="F37" s="439"/>
      <c r="G37" s="439"/>
      <c r="H37" s="439"/>
      <c r="I37" s="439"/>
      <c r="J37" s="439"/>
    </row>
    <row r="38" spans="1:13" ht="15" customHeight="1">
      <c r="B38" s="426" t="s">
        <v>175</v>
      </c>
      <c r="C38" s="426"/>
      <c r="D38" s="274">
        <f ca="1">(D15*I15*I21)/(D16*(I19+460))</f>
        <v>4034.5797357186011</v>
      </c>
      <c r="E38" s="194"/>
      <c r="F38" s="426" t="s">
        <v>172</v>
      </c>
      <c r="G38" s="426"/>
      <c r="H38" s="426"/>
      <c r="I38" s="275">
        <f ca="1">D38/(F49*I6)/(I7/F49-1)*0.00006</f>
        <v>0.48414956828623212</v>
      </c>
      <c r="J38" s="194" t="s">
        <v>164</v>
      </c>
    </row>
    <row r="39" spans="1:13" ht="15" customHeight="1">
      <c r="B39" s="435" t="s">
        <v>173</v>
      </c>
      <c r="C39" s="435"/>
      <c r="D39" s="276">
        <f ca="1">D38/(F49*I6)/(1-F49/I7)*0.00006</f>
        <v>0.96829913657246425</v>
      </c>
      <c r="E39" s="175" t="s">
        <v>164</v>
      </c>
      <c r="F39" s="435" t="s">
        <v>174</v>
      </c>
      <c r="G39" s="435"/>
      <c r="H39" s="435"/>
      <c r="I39" s="277">
        <f ca="1">D38/(F49*I6)*0.00006</f>
        <v>0.48414956828623212</v>
      </c>
      <c r="J39" s="175" t="s">
        <v>164</v>
      </c>
    </row>
    <row r="40" spans="1:13" ht="15" customHeight="1">
      <c r="B40" s="188"/>
      <c r="C40" s="188"/>
      <c r="D40" s="154"/>
      <c r="E40" s="182"/>
      <c r="F40" s="188"/>
      <c r="G40" s="188"/>
      <c r="H40" s="188"/>
      <c r="I40" s="155"/>
      <c r="J40" s="182"/>
    </row>
    <row r="41" spans="1:13" ht="15" customHeight="1">
      <c r="B41" s="188"/>
      <c r="C41" s="188"/>
      <c r="D41" s="154"/>
      <c r="E41" s="182"/>
      <c r="F41" s="188"/>
      <c r="G41" s="188"/>
      <c r="H41" s="188"/>
      <c r="I41" s="155"/>
      <c r="J41" s="182"/>
    </row>
    <row r="42" spans="1:13" ht="15" customHeight="1">
      <c r="B42" s="188"/>
      <c r="C42" s="188"/>
      <c r="D42" s="154"/>
      <c r="E42" s="182"/>
      <c r="F42" s="188"/>
      <c r="G42" s="188"/>
      <c r="H42" s="188"/>
      <c r="I42" s="155"/>
      <c r="J42" s="182"/>
    </row>
    <row r="43" spans="1:13" ht="30" customHeight="1">
      <c r="A43" s="425" t="s">
        <v>124</v>
      </c>
      <c r="B43" s="425"/>
      <c r="C43" s="425"/>
      <c r="D43" s="425"/>
      <c r="E43" s="425"/>
      <c r="F43" s="425"/>
      <c r="G43" s="425"/>
      <c r="H43" s="425"/>
      <c r="I43" s="425"/>
      <c r="J43" s="425"/>
      <c r="K43" s="425"/>
    </row>
    <row r="44" spans="1:13" ht="15" customHeight="1"/>
    <row r="45" spans="1:13" ht="15" customHeight="1">
      <c r="B45" s="439" t="s">
        <v>57</v>
      </c>
      <c r="C45" s="439"/>
      <c r="D45" s="439"/>
      <c r="E45" s="439"/>
      <c r="F45" s="439"/>
      <c r="G45" s="439"/>
      <c r="H45" s="439"/>
      <c r="I45" s="439"/>
      <c r="J45" s="439"/>
    </row>
    <row r="46" spans="1:13" ht="15" customHeight="1">
      <c r="B46" s="452"/>
      <c r="C46" s="449" t="s">
        <v>100</v>
      </c>
      <c r="D46" s="450"/>
      <c r="E46" s="450"/>
      <c r="F46" s="451"/>
      <c r="G46" s="449" t="s">
        <v>82</v>
      </c>
      <c r="H46" s="450"/>
      <c r="I46" s="450"/>
      <c r="J46" s="451"/>
      <c r="M46" s="195"/>
    </row>
    <row r="47" spans="1:13" ht="15" customHeight="1">
      <c r="B47" s="453"/>
      <c r="C47" s="196" t="s">
        <v>51</v>
      </c>
      <c r="D47" s="197" t="s">
        <v>81</v>
      </c>
      <c r="E47" s="196" t="s">
        <v>50</v>
      </c>
      <c r="F47" s="197" t="s">
        <v>80</v>
      </c>
      <c r="G47" s="196" t="s">
        <v>51</v>
      </c>
      <c r="H47" s="197" t="s">
        <v>81</v>
      </c>
      <c r="I47" s="196" t="s">
        <v>50</v>
      </c>
      <c r="J47" s="197" t="s">
        <v>80</v>
      </c>
    </row>
    <row r="48" spans="1:13" ht="15" customHeight="1">
      <c r="B48" s="198" t="s">
        <v>79</v>
      </c>
      <c r="C48" s="199"/>
      <c r="D48" s="199"/>
      <c r="E48" s="199"/>
      <c r="F48" s="199"/>
      <c r="G48" s="199"/>
      <c r="H48" s="199"/>
      <c r="I48" s="199"/>
      <c r="J48" s="200"/>
    </row>
    <row r="49" spans="2:10" ht="15" customHeight="1">
      <c r="B49" s="201" t="s">
        <v>78</v>
      </c>
      <c r="C49" s="156">
        <v>1</v>
      </c>
      <c r="D49" s="157">
        <v>0.7</v>
      </c>
      <c r="E49" s="157">
        <v>0.4</v>
      </c>
      <c r="F49" s="158">
        <v>0.1</v>
      </c>
      <c r="G49" s="118">
        <f>C49</f>
        <v>1</v>
      </c>
      <c r="H49" s="119">
        <f>D49</f>
        <v>0.7</v>
      </c>
      <c r="I49" s="119">
        <f>E49</f>
        <v>0.4</v>
      </c>
      <c r="J49" s="120">
        <f>F49</f>
        <v>0.1</v>
      </c>
    </row>
    <row r="50" spans="2:10" ht="15" customHeight="1">
      <c r="B50" s="202" t="s">
        <v>237</v>
      </c>
      <c r="C50" s="63">
        <f>IF(C51=0,"-",C49*$I$6)</f>
        <v>5</v>
      </c>
      <c r="D50" s="64" t="str">
        <f>IF(D51=0,"-",D49*$I$6)</f>
        <v>-</v>
      </c>
      <c r="E50" s="64" t="str">
        <f>IF(E51=0,"-",E49*$I$6)</f>
        <v>-</v>
      </c>
      <c r="F50" s="65" t="str">
        <f>IF(F51=0,"-",F49*$I$6)</f>
        <v>-</v>
      </c>
      <c r="G50" s="63">
        <f ca="1">IF(G51=0,"-",IF(ISERROR(G72)=TRUE,C50,C50*C72/G72))</f>
        <v>4.8297137780067212</v>
      </c>
      <c r="H50" s="64" t="str">
        <f>IF(H51=0,"-",IF(ISERROR(H72)=TRUE,D50,D50*D72/H72))</f>
        <v>-</v>
      </c>
      <c r="I50" s="64" t="str">
        <f>IF(I51=0,"-",IF(ISERROR(I72)=TRUE,E50,E50*E72/I72))</f>
        <v>-</v>
      </c>
      <c r="J50" s="65" t="str">
        <f>IF(J51=0,"-",IF(ISERROR(J72)=TRUE,F50,F50*F72/J72))</f>
        <v>-</v>
      </c>
    </row>
    <row r="51" spans="2:10" ht="15" customHeight="1">
      <c r="B51" s="201" t="s">
        <v>77</v>
      </c>
      <c r="C51" s="159">
        <v>1000</v>
      </c>
      <c r="D51" s="160">
        <v>0</v>
      </c>
      <c r="E51" s="160">
        <v>0</v>
      </c>
      <c r="F51" s="161">
        <v>0</v>
      </c>
      <c r="G51" s="121">
        <f>C51</f>
        <v>1000</v>
      </c>
      <c r="H51" s="122">
        <f>D51</f>
        <v>0</v>
      </c>
      <c r="I51" s="122">
        <f>E51</f>
        <v>0</v>
      </c>
      <c r="J51" s="123">
        <f>F51</f>
        <v>0</v>
      </c>
    </row>
    <row r="52" spans="2:10" ht="15" customHeight="1">
      <c r="B52" s="203" t="s">
        <v>238</v>
      </c>
      <c r="C52" s="37">
        <f>IF(C51=0,"-",C51*C50)</f>
        <v>5000</v>
      </c>
      <c r="D52" s="38" t="str">
        <f>IF(D51=0,"-",D51*D50)</f>
        <v>-</v>
      </c>
      <c r="E52" s="38" t="str">
        <f>IF(E51=0,"-",E51*E50)</f>
        <v>-</v>
      </c>
      <c r="F52" s="39" t="str">
        <f>IF(F51=0,"-",F51*F50)</f>
        <v>-</v>
      </c>
      <c r="G52" s="37">
        <f ca="1">IF(G51=0,"-",C52*C72/G72)</f>
        <v>4829.7137780067214</v>
      </c>
      <c r="H52" s="38" t="str">
        <f>IF(H51=0,"-",D52*D72/H72)</f>
        <v>-</v>
      </c>
      <c r="I52" s="38" t="str">
        <f>IF(I51=0,"-",E52*E72/I72)</f>
        <v>-</v>
      </c>
      <c r="J52" s="39" t="str">
        <f>IF(J51=0,"-",F52*F72/J72)</f>
        <v>-</v>
      </c>
    </row>
    <row r="53" spans="2:10" ht="15" customHeight="1">
      <c r="B53" s="204" t="s">
        <v>76</v>
      </c>
      <c r="C53" s="132"/>
      <c r="D53" s="132"/>
      <c r="E53" s="132"/>
      <c r="F53" s="132"/>
      <c r="G53" s="132"/>
      <c r="H53" s="132"/>
      <c r="I53" s="132"/>
      <c r="J53" s="133"/>
    </row>
    <row r="54" spans="2:10" ht="15" customHeight="1">
      <c r="B54" s="201" t="s">
        <v>75</v>
      </c>
      <c r="C54" s="162">
        <v>0.1</v>
      </c>
      <c r="D54" s="163" t="s">
        <v>71</v>
      </c>
      <c r="E54" s="163" t="s">
        <v>71</v>
      </c>
      <c r="F54" s="164" t="s">
        <v>71</v>
      </c>
      <c r="G54" s="124">
        <f>IF(C51=0,"-",MIN(I34,C54))</f>
        <v>0.04</v>
      </c>
      <c r="H54" s="125" t="str">
        <f>IF(D51=0,"-",MIN(I34,D54))</f>
        <v>-</v>
      </c>
      <c r="I54" s="125" t="str">
        <f>IF(E51=0,"-",MIN(D35,E54))</f>
        <v>-</v>
      </c>
      <c r="J54" s="126" t="str">
        <f>IF(F51=0,"-",MIN(D35,F54))</f>
        <v>-</v>
      </c>
    </row>
    <row r="55" spans="2:10" ht="15" customHeight="1">
      <c r="B55" s="202" t="s">
        <v>74</v>
      </c>
      <c r="C55" s="165">
        <v>7.4999999999999997E-2</v>
      </c>
      <c r="D55" s="166" t="s">
        <v>71</v>
      </c>
      <c r="E55" s="166" t="s">
        <v>71</v>
      </c>
      <c r="F55" s="167" t="s">
        <v>71</v>
      </c>
      <c r="G55" s="52">
        <f>IF(G51=0,"-",(1-G54)*($D$30*$D$34/12.01)/(($D$30*$D$34/12.01)+($I$30*$D$34/32)+((((($D$30*$D$34/12.01)+2*($I$30*$D$34/32))/(1-G54)+0.25*($D$31*$D$34/1.008)-($D$32*$D$34/32)+($I$31*$D$34/28.016)/3.76)/(1/3.76-G54/(1-G54))))))</f>
        <v>0.11163990226715</v>
      </c>
      <c r="H55" s="53" t="str">
        <f>IF(H51=0,"-",(1-H54)*($D$30*$D$34/12.01)/(($D$30*$D$34/12.01)+($I$30*$D$34/32)+((((($D$30*$D$34/12.01)+2*($I$30*$D$34/32))/(1-H54)+0.25*($D$31*$D$34/1.008)-($D$32*$D$34/32)+($I$31*$D$34/28.016)/3.76)/(1/3.76-H54/(1-H54))))))</f>
        <v>-</v>
      </c>
      <c r="I55" s="53" t="str">
        <f>IF(I51=0,"-",(1-I54)*($D$30*$D$34/12.01)/(($D$30*$D$34/12.01)+($I$30*$D$34/32)+((((($D$30*$D$34/12.01)+2*($I$30*$D$34/32))/(1-I54)+0.25*($D$31*$D$34/1.008)-($D$32*$D$34/32)+($I$31*$D$34/28.016)/3.76)/(1/3.76-I54/(1-I54))))))</f>
        <v>-</v>
      </c>
      <c r="J55" s="54" t="str">
        <f>IF(J51=0,"-",(1-J54)*($D$30*$D$34/12.01)/(($D$30*$D$34/12.01)+($I$30*$D$34/32)+((((($D$30*$D$34/12.01)+2*($I$30*$D$34/32))/(1-J54)+0.25*($D$31*$D$34/1.008)-($D$32*$D$34/32)+($I$31*$D$34/28.016)/3.76)/(1/3.76-J54/(1-J54))))))</f>
        <v>-</v>
      </c>
    </row>
    <row r="56" spans="2:10" ht="15" customHeight="1">
      <c r="B56" s="201" t="s">
        <v>73</v>
      </c>
      <c r="C56" s="168">
        <v>5</v>
      </c>
      <c r="D56" s="169" t="s">
        <v>71</v>
      </c>
      <c r="E56" s="169" t="s">
        <v>71</v>
      </c>
      <c r="F56" s="170" t="s">
        <v>71</v>
      </c>
      <c r="G56" s="383">
        <f>IF(G51=0,"-",C56)</f>
        <v>5</v>
      </c>
      <c r="H56" s="384" t="str">
        <f>IF(H51=0,"-",D56)</f>
        <v>-</v>
      </c>
      <c r="I56" s="384" t="str">
        <f>IF(I51=0,"-",E56)</f>
        <v>-</v>
      </c>
      <c r="J56" s="385" t="str">
        <f>IF(J51=0,"-",F56)</f>
        <v>-</v>
      </c>
    </row>
    <row r="57" spans="2:10" ht="15" customHeight="1">
      <c r="B57" s="202" t="s">
        <v>72</v>
      </c>
      <c r="C57" s="171">
        <v>350</v>
      </c>
      <c r="D57" s="172" t="s">
        <v>71</v>
      </c>
      <c r="E57" s="172" t="s">
        <v>71</v>
      </c>
      <c r="F57" s="173" t="s">
        <v>71</v>
      </c>
      <c r="G57" s="55">
        <f ca="1">IF(G51=0,"-",MIN(C57,$I$19+100))</f>
        <v>350</v>
      </c>
      <c r="H57" s="56" t="str">
        <f>IF(H51=0,"-",MIN(D57,$I$19+100))</f>
        <v>-</v>
      </c>
      <c r="I57" s="56" t="str">
        <f>IF(I51=0,"-",MIN(E57,$I$19+100))</f>
        <v>-</v>
      </c>
      <c r="J57" s="57" t="str">
        <f>IF(J51=0,"-",MIN(F57,$I$19+100))</f>
        <v>-</v>
      </c>
    </row>
    <row r="58" spans="2:10" ht="15" customHeight="1">
      <c r="B58" s="201" t="s">
        <v>70</v>
      </c>
      <c r="C58" s="127">
        <f t="shared" ref="C58:J58" si="0">IF(C51=0,"-",C57-$D$10)</f>
        <v>270</v>
      </c>
      <c r="D58" s="58" t="str">
        <f t="shared" si="0"/>
        <v>-</v>
      </c>
      <c r="E58" s="58" t="str">
        <f t="shared" si="0"/>
        <v>-</v>
      </c>
      <c r="F58" s="128" t="str">
        <f t="shared" si="0"/>
        <v>-</v>
      </c>
      <c r="G58" s="127">
        <f t="shared" ca="1" si="0"/>
        <v>270</v>
      </c>
      <c r="H58" s="58" t="str">
        <f t="shared" si="0"/>
        <v>-</v>
      </c>
      <c r="I58" s="58" t="str">
        <f t="shared" si="0"/>
        <v>-</v>
      </c>
      <c r="J58" s="128" t="str">
        <f t="shared" si="0"/>
        <v>-</v>
      </c>
    </row>
    <row r="59" spans="2:10" ht="15" customHeight="1">
      <c r="B59" s="198" t="s">
        <v>69</v>
      </c>
      <c r="C59" s="134"/>
      <c r="D59" s="134"/>
      <c r="E59" s="134"/>
      <c r="F59" s="134"/>
      <c r="G59" s="134"/>
      <c r="H59" s="134"/>
      <c r="I59" s="134"/>
      <c r="J59" s="135"/>
    </row>
    <row r="60" spans="2:10" ht="15" customHeight="1">
      <c r="B60" s="25" t="s">
        <v>68</v>
      </c>
      <c r="C60" s="40">
        <f>IF(C51=0,"-",C50/$I$33*1000000/60/(1-$D$33))</f>
        <v>3.8455622211967389</v>
      </c>
      <c r="D60" s="41" t="str">
        <f t="shared" ref="D60:J60" si="1">IF(D51=0,"-",D50/$I$33*1000000/60/(1-$D$33))</f>
        <v>-</v>
      </c>
      <c r="E60" s="41" t="str">
        <f>IF(E51=0,"-",E50/$I$33*1000000/60/(1-$D$33))</f>
        <v>-</v>
      </c>
      <c r="F60" s="42" t="str">
        <f t="shared" si="1"/>
        <v>-</v>
      </c>
      <c r="G60" s="40">
        <f t="shared" ca="1" si="1"/>
        <v>3.7145929687792036</v>
      </c>
      <c r="H60" s="41" t="str">
        <f>IF(H51=0,"-",H50/$I$33*1000000/60/(1-$D$33))</f>
        <v>-</v>
      </c>
      <c r="I60" s="41" t="str">
        <f t="shared" si="1"/>
        <v>-</v>
      </c>
      <c r="J60" s="42" t="str">
        <f t="shared" si="1"/>
        <v>-</v>
      </c>
    </row>
    <row r="61" spans="2:10" ht="15" customHeight="1">
      <c r="B61" s="203" t="s">
        <v>67</v>
      </c>
      <c r="C61" s="43">
        <f>IF(C51=0,"-",C60*4.76*28.96/$D$34*((1-C54)*(($D$30*$D$34/12.01)-($D$32*$D$34/32)+0.25*($D$31*$D$34/1.008))+C54*(($D$30*$D$34/12.01)+2*($I$30*$D$34/64)))/(1-2.76*C54))</f>
        <v>79.615161364401644</v>
      </c>
      <c r="D61" s="44" t="str">
        <f t="shared" ref="D61:I61" si="2">IF(D51=0,"-",D60*4.76*28.96/$D$34*((1-D54)*(($D$30*$D$34/12.01)-($D$32*$D$34/32)+0.25*($D$31*$D$34/1.008))+D54*(($D$30*$D$34/12.01)+2*($I$30*$D$34/64)))/(1-2.76*D54))</f>
        <v>-</v>
      </c>
      <c r="E61" s="44" t="str">
        <f t="shared" si="2"/>
        <v>-</v>
      </c>
      <c r="F61" s="45" t="str">
        <f t="shared" si="2"/>
        <v>-</v>
      </c>
      <c r="G61" s="43">
        <f ca="1">IF(G51=0,"-",G60*4.76*28.96/$D$34*((1-G54)*(($D$30*$D$34/12.01)-($D$32*$D$34/32)+0.25*($D$31*$D$34/1.008))+G54*(($D$30*$D$34/12.01)+2*($I$30*$D$34/64)))/(1-2.76*G54))</f>
        <v>64.146904692301874</v>
      </c>
      <c r="H61" s="44" t="str">
        <f t="shared" si="2"/>
        <v>-</v>
      </c>
      <c r="I61" s="44" t="str">
        <f t="shared" si="2"/>
        <v>-</v>
      </c>
      <c r="J61" s="45" t="str">
        <f>IF(J51=0,"-",J60*4.76*28.96/$D$34*((1-J54)*(($D$30*$D$34/12.01)-($D$32*$D$34/32)+0.25*($D$31*$D$34/1.008))+J54*(($D$30*$D$34/12.01)+2*($I$30*$D$34/64)))/(1-2.76*J54))</f>
        <v>-</v>
      </c>
    </row>
    <row r="62" spans="2:10" ht="15" customHeight="1">
      <c r="B62" s="198" t="s">
        <v>66</v>
      </c>
      <c r="C62" s="136"/>
      <c r="D62" s="136"/>
      <c r="E62" s="136"/>
      <c r="F62" s="136"/>
      <c r="G62" s="136"/>
      <c r="H62" s="136"/>
      <c r="I62" s="136"/>
      <c r="J62" s="137"/>
    </row>
    <row r="63" spans="2:10" ht="15" customHeight="1">
      <c r="B63" s="201" t="s">
        <v>65</v>
      </c>
      <c r="C63" s="129">
        <f>IF(C51=0,"-",(44.01*C55+32*C54+28.02*(1-C55-C54-C56*0.000001)+28.01*0.000001*C56)/(12.01*(C56*0.000001+C55))*($D$30+$I$30*12.01/32.07)*0.24*C58/$I$33)</f>
        <v>8.0423117866495225E-2</v>
      </c>
      <c r="D63" s="130" t="str">
        <f t="shared" ref="D63:J63" si="3">IF(D51=0,"-",(44.01*D55+32*D54+28.02*(1-D55-D54-D56*0.000001)+28.01*0.000001*D56)/(12.01*(D56*0.000001+D55))*($D$30+$I$30*12.01/32.07)*0.24*D58/$I$33)</f>
        <v>-</v>
      </c>
      <c r="E63" s="130" t="str">
        <f t="shared" si="3"/>
        <v>-</v>
      </c>
      <c r="F63" s="131" t="str">
        <f t="shared" si="3"/>
        <v>-</v>
      </c>
      <c r="G63" s="129">
        <f t="shared" ca="1" si="3"/>
        <v>5.4662809353609891E-2</v>
      </c>
      <c r="H63" s="130" t="str">
        <f t="shared" si="3"/>
        <v>-</v>
      </c>
      <c r="I63" s="130" t="str">
        <f>IF(I51=0,"-",(44.01*I55+32*I54+28.02*(1-I55-I54-I56*0.000001)+28.01*0.000001*I56)/(12.01*(I56*0.000001+I55))*($D$30+$I$30*12.01/32.07)*0.24*I58/$I$33)</f>
        <v>-</v>
      </c>
      <c r="J63" s="131" t="str">
        <f t="shared" si="3"/>
        <v>-</v>
      </c>
    </row>
    <row r="64" spans="2:10" ht="15" customHeight="1">
      <c r="B64" s="202" t="s">
        <v>64</v>
      </c>
      <c r="C64" s="46">
        <f>IF(C51=0,"-",8.936*(0.445*C57+1060.7-($D$10-32))*$D$31/$I$33)</f>
        <v>8.7693170023073377E-2</v>
      </c>
      <c r="D64" s="47" t="str">
        <f t="shared" ref="D64:J64" si="4">IF(D51=0,"-",8.936*(0.445*D57+1060.7-($D$10-32))*$D$31/$I$33)</f>
        <v>-</v>
      </c>
      <c r="E64" s="47" t="str">
        <f t="shared" si="4"/>
        <v>-</v>
      </c>
      <c r="F64" s="48" t="str">
        <f t="shared" si="4"/>
        <v>-</v>
      </c>
      <c r="G64" s="46">
        <f t="shared" ca="1" si="4"/>
        <v>8.7693170023073377E-2</v>
      </c>
      <c r="H64" s="47" t="str">
        <f t="shared" si="4"/>
        <v>-</v>
      </c>
      <c r="I64" s="47" t="str">
        <f>IF(I51=0,"-",8.936*(0.445*I57+1060.7-($D$10-32))*$D$31/$I$33)</f>
        <v>-</v>
      </c>
      <c r="J64" s="48" t="str">
        <f t="shared" si="4"/>
        <v>-</v>
      </c>
    </row>
    <row r="65" spans="2:10" ht="15" customHeight="1">
      <c r="B65" s="201" t="s">
        <v>63</v>
      </c>
      <c r="C65" s="129">
        <f>IF(C51=0,"-",IF($D$33=0,0,($D$33*(0.445*C57+1060.7-($D$10-32)))/$I$33))</f>
        <v>0</v>
      </c>
      <c r="D65" s="130" t="str">
        <f t="shared" ref="D65:J65" si="5">IF(D51=0,"-",IF($D$33=0,0,($D$33*(0.445*D57+1060.7-($D$10-32)))/$I$33))</f>
        <v>-</v>
      </c>
      <c r="E65" s="130" t="str">
        <f t="shared" si="5"/>
        <v>-</v>
      </c>
      <c r="F65" s="131" t="str">
        <f t="shared" si="5"/>
        <v>-</v>
      </c>
      <c r="G65" s="129">
        <f t="shared" si="5"/>
        <v>0</v>
      </c>
      <c r="H65" s="130" t="str">
        <f t="shared" si="5"/>
        <v>-</v>
      </c>
      <c r="I65" s="130" t="str">
        <f>IF(I51=0,"-",IF($D$33=0,0,($D$33*(0.445*I57+1060.7-($D$10-32)))/$I$33))</f>
        <v>-</v>
      </c>
      <c r="J65" s="131" t="str">
        <f t="shared" si="5"/>
        <v>-</v>
      </c>
    </row>
    <row r="66" spans="2:10" ht="15" customHeight="1">
      <c r="B66" s="202" t="s">
        <v>62</v>
      </c>
      <c r="C66" s="46">
        <f>IF(C51=0,"-",C56*0.000001/(C56*0.000001+C55)*10160*$D$30/$I$33)</f>
        <v>2.5566300502286153E-5</v>
      </c>
      <c r="D66" s="47" t="str">
        <f t="shared" ref="D66:J66" si="6">IF(D51=0,"-",D56*0.000001/(D56*0.000001+D55)*10160*$D$30/$I$33)</f>
        <v>-</v>
      </c>
      <c r="E66" s="47" t="str">
        <f t="shared" si="6"/>
        <v>-</v>
      </c>
      <c r="F66" s="48" t="str">
        <f t="shared" si="6"/>
        <v>-</v>
      </c>
      <c r="G66" s="46">
        <f t="shared" si="6"/>
        <v>1.7175888287182465E-5</v>
      </c>
      <c r="H66" s="47" t="str">
        <f t="shared" si="6"/>
        <v>-</v>
      </c>
      <c r="I66" s="47" t="str">
        <f t="shared" si="6"/>
        <v>-</v>
      </c>
      <c r="J66" s="48" t="str">
        <f t="shared" si="6"/>
        <v>-</v>
      </c>
    </row>
    <row r="67" spans="2:10" ht="15" customHeight="1">
      <c r="B67" s="201" t="s">
        <v>61</v>
      </c>
      <c r="C67" s="129">
        <f>IF(C51=0,"-",$I$32)</f>
        <v>0</v>
      </c>
      <c r="D67" s="130" t="str">
        <f t="shared" ref="D67:J67" si="7">IF(D51=0,"-",$I$32)</f>
        <v>-</v>
      </c>
      <c r="E67" s="130" t="str">
        <f t="shared" si="7"/>
        <v>-</v>
      </c>
      <c r="F67" s="131" t="str">
        <f t="shared" si="7"/>
        <v>-</v>
      </c>
      <c r="G67" s="129">
        <f t="shared" si="7"/>
        <v>0</v>
      </c>
      <c r="H67" s="130" t="str">
        <f t="shared" si="7"/>
        <v>-</v>
      </c>
      <c r="I67" s="130" t="str">
        <f t="shared" si="7"/>
        <v>-</v>
      </c>
      <c r="J67" s="131" t="str">
        <f t="shared" si="7"/>
        <v>-</v>
      </c>
    </row>
    <row r="68" spans="2:10" ht="15" customHeight="1">
      <c r="B68" s="202" t="s">
        <v>60</v>
      </c>
      <c r="C68" s="46">
        <f>IF(C51=0,"-",(0.445*C57+1060.7-($D$10-32))*$D$12*(C61/C60)/$I$33)</f>
        <v>1.1163160235548213E-2</v>
      </c>
      <c r="D68" s="47" t="str">
        <f t="shared" ref="D68:J68" si="8">IF(D51=0,"-",(0.445*D57+1060.7-($D$10-32))*$D$12*(D61/D60)/$I$33)</f>
        <v>-</v>
      </c>
      <c r="E68" s="47" t="str">
        <f t="shared" si="8"/>
        <v>-</v>
      </c>
      <c r="F68" s="48" t="str">
        <f t="shared" si="8"/>
        <v>-</v>
      </c>
      <c r="G68" s="46">
        <f t="shared" ca="1" si="8"/>
        <v>9.3114152390190563E-3</v>
      </c>
      <c r="H68" s="47" t="str">
        <f t="shared" si="8"/>
        <v>-</v>
      </c>
      <c r="I68" s="47" t="str">
        <f t="shared" si="8"/>
        <v>-</v>
      </c>
      <c r="J68" s="48" t="str">
        <f t="shared" si="8"/>
        <v>-</v>
      </c>
    </row>
    <row r="69" spans="2:10" ht="15" customHeight="1">
      <c r="B69" s="201" t="s">
        <v>59</v>
      </c>
      <c r="C69" s="129">
        <f t="shared" ref="C69:I69" si="9">IF(C51=0,"-",1-C63-C64-C65-C66-C67-C68)</f>
        <v>0.82069498557438081</v>
      </c>
      <c r="D69" s="130" t="str">
        <f t="shared" si="9"/>
        <v>-</v>
      </c>
      <c r="E69" s="130" t="str">
        <f t="shared" si="9"/>
        <v>-</v>
      </c>
      <c r="F69" s="131" t="str">
        <f t="shared" si="9"/>
        <v>-</v>
      </c>
      <c r="G69" s="129">
        <f ca="1">IF(G51=0,"-",1-G63-G64-G65-G66-G67-G68)</f>
        <v>0.84831542949601046</v>
      </c>
      <c r="H69" s="130" t="str">
        <f t="shared" si="9"/>
        <v>-</v>
      </c>
      <c r="I69" s="130" t="str">
        <f t="shared" si="9"/>
        <v>-</v>
      </c>
      <c r="J69" s="131" t="str">
        <f>IF(J51=0,"-",1-J63-J64-J65-J66-J67-J68)</f>
        <v>-</v>
      </c>
    </row>
    <row r="70" spans="2:10" ht="15" customHeight="1">
      <c r="B70" s="202" t="s">
        <v>98</v>
      </c>
      <c r="C70" s="46">
        <f t="shared" ref="C70:J70" si="10">IF(C51=0,"-",(0.359+18.2842/$I$6-7.1088/$I$6^2)/100/C49)</f>
        <v>3.7314879999999995E-2</v>
      </c>
      <c r="D70" s="47" t="str">
        <f t="shared" si="10"/>
        <v>-</v>
      </c>
      <c r="E70" s="47" t="str">
        <f t="shared" si="10"/>
        <v>-</v>
      </c>
      <c r="F70" s="48" t="str">
        <f t="shared" si="10"/>
        <v>-</v>
      </c>
      <c r="G70" s="46">
        <f t="shared" si="10"/>
        <v>3.7314879999999995E-2</v>
      </c>
      <c r="H70" s="47" t="str">
        <f t="shared" si="10"/>
        <v>-</v>
      </c>
      <c r="I70" s="47" t="str">
        <f t="shared" si="10"/>
        <v>-</v>
      </c>
      <c r="J70" s="48" t="str">
        <f t="shared" si="10"/>
        <v>-</v>
      </c>
    </row>
    <row r="71" spans="2:10" ht="15" customHeight="1">
      <c r="B71" s="201" t="s">
        <v>58</v>
      </c>
      <c r="C71" s="129" t="s">
        <v>71</v>
      </c>
      <c r="D71" s="130" t="s">
        <v>71</v>
      </c>
      <c r="E71" s="130" t="s">
        <v>71</v>
      </c>
      <c r="F71" s="131" t="str">
        <f>IF(F51=0,"-",D61*0.252*D11*(I19-D10)*2*D7/D6*(F49&lt;I7)/(1000000*F50))</f>
        <v>-</v>
      </c>
      <c r="G71" s="129" t="s">
        <v>71</v>
      </c>
      <c r="H71" s="130" t="s">
        <v>71</v>
      </c>
      <c r="I71" s="130" t="s">
        <v>71</v>
      </c>
      <c r="J71" s="131" t="str">
        <f>IF(J51=0,"-",H61*0.252*D11*(I19-D10)*2*D7/D6*(J49&lt;I7)/(1000000*J50))</f>
        <v>-</v>
      </c>
    </row>
    <row r="72" spans="2:10" ht="15" customHeight="1">
      <c r="B72" s="205" t="s">
        <v>57</v>
      </c>
      <c r="C72" s="49">
        <f>IF(C51=0,"-",IF(C69-C70&lt;0,0,C69-C70))</f>
        <v>0.78338010557438076</v>
      </c>
      <c r="D72" s="50" t="str">
        <f>IF(D51=0,"-",IF(D69-D70&lt;0,0,D69-D70))</f>
        <v>-</v>
      </c>
      <c r="E72" s="50" t="str">
        <f>IF(E51=0,"-",IF(E69-E70&lt;0,0,E69-E70))</f>
        <v>-</v>
      </c>
      <c r="F72" s="51" t="str">
        <f>IF(F51=0,"-",IF(F69-F70-F71&lt;0,0,F69-F70-F71))</f>
        <v>-</v>
      </c>
      <c r="G72" s="49">
        <f ca="1">IF(G51=0,"-",IF(G69-G70&lt;0,0,G69-G70))</f>
        <v>0.81100054949601041</v>
      </c>
      <c r="H72" s="50" t="str">
        <f>IF(H51=0,"-",IF(H69-H70&lt;0,0,H69-H70))</f>
        <v>-</v>
      </c>
      <c r="I72" s="50" t="str">
        <f>IF(I51=0,"-",IF(I69-I70&lt;0,0,I69-I70))</f>
        <v>-</v>
      </c>
      <c r="J72" s="51" t="str">
        <f>IF(J51=0,"-",IF(J69-J70-J71&lt;0,0,J69-J70-J71))</f>
        <v>-</v>
      </c>
    </row>
    <row r="75" spans="2:10">
      <c r="B75" s="278" t="s">
        <v>142</v>
      </c>
    </row>
    <row r="77" spans="2:10">
      <c r="B77" s="447" t="s">
        <v>227</v>
      </c>
      <c r="C77" s="447"/>
      <c r="D77" s="447"/>
      <c r="E77" s="447"/>
      <c r="F77" s="447"/>
      <c r="G77" s="447"/>
      <c r="H77" s="447"/>
      <c r="I77" s="447"/>
      <c r="J77" s="447"/>
    </row>
    <row r="78" spans="2:10">
      <c r="B78" s="447"/>
      <c r="C78" s="447"/>
      <c r="D78" s="447"/>
      <c r="E78" s="447"/>
      <c r="F78" s="447"/>
      <c r="G78" s="447"/>
      <c r="H78" s="447"/>
      <c r="I78" s="447"/>
      <c r="J78" s="447"/>
    </row>
    <row r="79" spans="2:10">
      <c r="B79" s="447"/>
      <c r="C79" s="447"/>
      <c r="D79" s="447"/>
      <c r="E79" s="447"/>
      <c r="F79" s="447"/>
      <c r="G79" s="447"/>
      <c r="H79" s="447"/>
      <c r="I79" s="447"/>
      <c r="J79" s="447"/>
    </row>
  </sheetData>
  <sheetProtection password="E0B2" sheet="1" objects="1" scenarios="1" selectLockedCells="1"/>
  <mergeCells count="63">
    <mergeCell ref="B77:J79"/>
    <mergeCell ref="B35:C35"/>
    <mergeCell ref="B37:J37"/>
    <mergeCell ref="B38:C38"/>
    <mergeCell ref="F38:H38"/>
    <mergeCell ref="B39:C39"/>
    <mergeCell ref="F39:H39"/>
    <mergeCell ref="A43:K43"/>
    <mergeCell ref="B45:J45"/>
    <mergeCell ref="B46:B47"/>
    <mergeCell ref="C46:F46"/>
    <mergeCell ref="G46:J46"/>
    <mergeCell ref="B32:C32"/>
    <mergeCell ref="F32:H32"/>
    <mergeCell ref="B33:C33"/>
    <mergeCell ref="F33:H33"/>
    <mergeCell ref="B34:C34"/>
    <mergeCell ref="F34:H34"/>
    <mergeCell ref="B31:C31"/>
    <mergeCell ref="F31:H31"/>
    <mergeCell ref="F24:H24"/>
    <mergeCell ref="B25:C25"/>
    <mergeCell ref="F25:H25"/>
    <mergeCell ref="B26:C26"/>
    <mergeCell ref="F26:H26"/>
    <mergeCell ref="B28:J28"/>
    <mergeCell ref="B29:C29"/>
    <mergeCell ref="D29:E29"/>
    <mergeCell ref="F29:H29"/>
    <mergeCell ref="B30:C30"/>
    <mergeCell ref="F30:H30"/>
    <mergeCell ref="B23:J23"/>
    <mergeCell ref="B14:J14"/>
    <mergeCell ref="B15:C15"/>
    <mergeCell ref="F15:H15"/>
    <mergeCell ref="B16:C16"/>
    <mergeCell ref="F16:H16"/>
    <mergeCell ref="B18:J18"/>
    <mergeCell ref="F19:H19"/>
    <mergeCell ref="B20:C20"/>
    <mergeCell ref="F20:H20"/>
    <mergeCell ref="B21:C21"/>
    <mergeCell ref="F21:H21"/>
    <mergeCell ref="B12:C12"/>
    <mergeCell ref="F12:H12"/>
    <mergeCell ref="B5:C5"/>
    <mergeCell ref="D5:E5"/>
    <mergeCell ref="F5:H5"/>
    <mergeCell ref="B6:C6"/>
    <mergeCell ref="F6:H6"/>
    <mergeCell ref="B7:C7"/>
    <mergeCell ref="F7:H7"/>
    <mergeCell ref="B9:J9"/>
    <mergeCell ref="B10:C10"/>
    <mergeCell ref="F10:H10"/>
    <mergeCell ref="B11:C11"/>
    <mergeCell ref="F11:H11"/>
    <mergeCell ref="A1:K1"/>
    <mergeCell ref="B3:J3"/>
    <mergeCell ref="B4:C4"/>
    <mergeCell ref="D4:E4"/>
    <mergeCell ref="F4:H4"/>
    <mergeCell ref="I4:J4"/>
  </mergeCells>
  <dataValidations count="9">
    <dataValidation allowBlank="1" showInputMessage="1" showErrorMessage="1" prompt="Default Value is 0.2 ft3/Boiler Hp" sqref="I15"/>
    <dataValidation allowBlank="1" showInputMessage="1" showErrorMessage="1" prompt="Default Value is 10 psi" sqref="D15"/>
    <dataValidation allowBlank="1" showInputMessage="1" showErrorMessage="1" prompt="Default Value is 75%" sqref="D11"/>
    <dataValidation allowBlank="1" showInputMessage="1" showErrorMessage="1" prompt="Default Value is 50F" sqref="I10"/>
    <dataValidation allowBlank="1" showInputMessage="1" showErrorMessage="1" prompt="Default Value is 80F" sqref="D10"/>
    <dataValidation allowBlank="1" showInputMessage="1" showErrorMessage="1" prompt="Default Value is 20%" sqref="I7"/>
    <dataValidation allowBlank="1" showInputMessage="1" showErrorMessage="1" prompt="Default value is 30 seconds" sqref="D7"/>
    <dataValidation type="list" allowBlank="1" showInputMessage="1" showErrorMessage="1" sqref="D5">
      <formula1>"Full Modulating,Low-High-Off,On-Off"</formula1>
    </dataValidation>
    <dataValidation type="list" allowBlank="1" showInputMessage="1" showErrorMessage="1" sqref="D29">
      <formula1>'Fuel Properties'!A7:A13</formula1>
    </dataValidation>
  </dataValidations>
  <printOptions horizontalCentered="1"/>
  <pageMargins left="0.2" right="0.2" top="0.75" bottom="0.75" header="0.3" footer="0.3"/>
  <pageSetup orientation="portrait" r:id="rId1"/>
  <rowBreaks count="1" manualBreakCount="1">
    <brk id="42" max="10" man="1"/>
  </rowBreaks>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dimension ref="A1:N79"/>
  <sheetViews>
    <sheetView view="pageBreakPreview" zoomScaleNormal="100" zoomScaleSheetLayoutView="100" workbookViewId="0">
      <selection activeCell="D4" sqref="D4:E4"/>
    </sheetView>
  </sheetViews>
  <sheetFormatPr defaultRowHeight="15"/>
  <cols>
    <col min="1" max="1" width="1.42578125" style="67" customWidth="1"/>
    <col min="2" max="2" width="19.140625" style="67" customWidth="1"/>
    <col min="3" max="10" width="9.5703125" style="67" customWidth="1"/>
    <col min="11" max="11" width="1.42578125" style="67" customWidth="1"/>
    <col min="12" max="16" width="9.28515625" style="67" customWidth="1"/>
    <col min="17" max="16384" width="9.140625" style="67"/>
  </cols>
  <sheetData>
    <row r="1" spans="1:14" ht="30" customHeight="1">
      <c r="A1" s="425" t="s">
        <v>124</v>
      </c>
      <c r="B1" s="425"/>
      <c r="C1" s="425"/>
      <c r="D1" s="425"/>
      <c r="E1" s="425"/>
      <c r="F1" s="425"/>
      <c r="G1" s="425"/>
      <c r="H1" s="425"/>
      <c r="I1" s="425"/>
      <c r="J1" s="425"/>
      <c r="K1" s="425"/>
      <c r="L1" s="174"/>
      <c r="M1" s="174"/>
    </row>
    <row r="2" spans="1:14" ht="15" customHeight="1"/>
    <row r="3" spans="1:14" ht="15" customHeight="1">
      <c r="B3" s="439" t="s">
        <v>194</v>
      </c>
      <c r="C3" s="439"/>
      <c r="D3" s="439"/>
      <c r="E3" s="439"/>
      <c r="F3" s="439"/>
      <c r="G3" s="439"/>
      <c r="H3" s="439"/>
      <c r="I3" s="439"/>
      <c r="J3" s="439"/>
    </row>
    <row r="4" spans="1:14" ht="15" customHeight="1">
      <c r="B4" s="428" t="s">
        <v>96</v>
      </c>
      <c r="C4" s="430"/>
      <c r="D4" s="437"/>
      <c r="E4" s="438"/>
      <c r="F4" s="432" t="s">
        <v>239</v>
      </c>
      <c r="G4" s="432"/>
      <c r="H4" s="432"/>
      <c r="I4" s="448"/>
      <c r="J4" s="448"/>
      <c r="K4" s="68"/>
    </row>
    <row r="5" spans="1:14" ht="15" customHeight="1">
      <c r="B5" s="432" t="s">
        <v>95</v>
      </c>
      <c r="C5" s="432"/>
      <c r="D5" s="437"/>
      <c r="E5" s="438"/>
      <c r="F5" s="428" t="s">
        <v>77</v>
      </c>
      <c r="G5" s="429"/>
      <c r="H5" s="430"/>
      <c r="I5" s="247">
        <f>SUM(C51:F51)</f>
        <v>0</v>
      </c>
      <c r="J5" s="175" t="s">
        <v>92</v>
      </c>
    </row>
    <row r="6" spans="1:14" ht="15" customHeight="1">
      <c r="B6" s="434" t="s">
        <v>176</v>
      </c>
      <c r="C6" s="434"/>
      <c r="D6" s="249" t="e">
        <f ca="1">D38/((I7-F49)*I6)*(I7/F49)*0.00006</f>
        <v>#DIV/0!</v>
      </c>
      <c r="E6" s="176" t="s">
        <v>164</v>
      </c>
      <c r="F6" s="434" t="s">
        <v>94</v>
      </c>
      <c r="G6" s="434"/>
      <c r="H6" s="434"/>
      <c r="I6" s="251"/>
      <c r="J6" s="177" t="s">
        <v>93</v>
      </c>
    </row>
    <row r="7" spans="1:14" ht="15" customHeight="1">
      <c r="B7" s="435" t="s">
        <v>162</v>
      </c>
      <c r="C7" s="435"/>
      <c r="D7" s="252">
        <v>30</v>
      </c>
      <c r="E7" s="178" t="s">
        <v>163</v>
      </c>
      <c r="F7" s="432" t="s">
        <v>160</v>
      </c>
      <c r="G7" s="432"/>
      <c r="H7" s="432"/>
      <c r="I7" s="254">
        <v>0.2</v>
      </c>
      <c r="J7" s="248"/>
      <c r="N7" s="179"/>
    </row>
    <row r="8" spans="1:14" ht="15" customHeight="1">
      <c r="B8" s="188"/>
      <c r="C8" s="188"/>
      <c r="D8" s="181"/>
      <c r="E8" s="188"/>
      <c r="F8" s="182"/>
      <c r="G8" s="182"/>
      <c r="H8" s="182"/>
      <c r="I8" s="183"/>
      <c r="J8" s="182"/>
      <c r="N8" s="179"/>
    </row>
    <row r="9" spans="1:14" ht="15" customHeight="1">
      <c r="B9" s="439" t="s">
        <v>195</v>
      </c>
      <c r="C9" s="439"/>
      <c r="D9" s="439"/>
      <c r="E9" s="439"/>
      <c r="F9" s="439"/>
      <c r="G9" s="439"/>
      <c r="H9" s="439"/>
      <c r="I9" s="439"/>
      <c r="J9" s="439"/>
    </row>
    <row r="10" spans="1:14" ht="15" customHeight="1">
      <c r="B10" s="426" t="s">
        <v>91</v>
      </c>
      <c r="C10" s="426"/>
      <c r="D10" s="255">
        <v>80</v>
      </c>
      <c r="E10" s="256" t="s">
        <v>226</v>
      </c>
      <c r="F10" s="431" t="s">
        <v>198</v>
      </c>
      <c r="G10" s="431"/>
      <c r="H10" s="431"/>
      <c r="I10" s="257">
        <v>50</v>
      </c>
      <c r="J10" s="184" t="s">
        <v>83</v>
      </c>
    </row>
    <row r="11" spans="1:14" ht="15" customHeight="1">
      <c r="B11" s="433" t="s">
        <v>161</v>
      </c>
      <c r="C11" s="433"/>
      <c r="D11" s="258">
        <v>0.75</v>
      </c>
      <c r="E11" s="250"/>
      <c r="F11" s="434" t="s">
        <v>86</v>
      </c>
      <c r="G11" s="434"/>
      <c r="H11" s="434"/>
      <c r="I11" s="259">
        <f>-0.0000000000000723527*I12^3+0.00000000795644*I12^2-0.00053178*I12+14.6958</f>
        <v>14.6958</v>
      </c>
      <c r="J11" s="185" t="s">
        <v>85</v>
      </c>
    </row>
    <row r="12" spans="1:14" ht="15" customHeight="1">
      <c r="B12" s="432" t="s">
        <v>88</v>
      </c>
      <c r="C12" s="432"/>
      <c r="D12" s="260">
        <v>0.01</v>
      </c>
      <c r="E12" s="253" t="s">
        <v>87</v>
      </c>
      <c r="F12" s="435" t="s">
        <v>90</v>
      </c>
      <c r="G12" s="435"/>
      <c r="H12" s="435"/>
      <c r="I12" s="260">
        <v>0</v>
      </c>
      <c r="J12" s="175" t="s">
        <v>89</v>
      </c>
    </row>
    <row r="13" spans="1:14" ht="15" customHeight="1">
      <c r="B13" s="182"/>
      <c r="C13" s="182"/>
      <c r="D13" s="186"/>
      <c r="E13" s="188"/>
      <c r="F13" s="188"/>
      <c r="G13" s="188"/>
      <c r="H13" s="188"/>
      <c r="I13" s="186"/>
      <c r="J13" s="182"/>
    </row>
    <row r="14" spans="1:14" ht="15" customHeight="1">
      <c r="B14" s="439" t="s">
        <v>196</v>
      </c>
      <c r="C14" s="439"/>
      <c r="D14" s="439"/>
      <c r="E14" s="439"/>
      <c r="F14" s="439"/>
      <c r="G14" s="439"/>
      <c r="H14" s="439"/>
      <c r="I14" s="439"/>
      <c r="J14" s="439"/>
    </row>
    <row r="15" spans="1:14" ht="15" customHeight="1">
      <c r="A15" s="87"/>
      <c r="B15" s="436" t="s">
        <v>165</v>
      </c>
      <c r="C15" s="436"/>
      <c r="D15" s="261">
        <v>10</v>
      </c>
      <c r="E15" s="187" t="s">
        <v>166</v>
      </c>
      <c r="F15" s="426" t="s">
        <v>167</v>
      </c>
      <c r="G15" s="426"/>
      <c r="H15" s="426"/>
      <c r="I15" s="262">
        <f>I6*29.876249572*0.2</f>
        <v>0</v>
      </c>
      <c r="J15" s="184" t="s">
        <v>168</v>
      </c>
    </row>
    <row r="16" spans="1:14" ht="15" customHeight="1">
      <c r="B16" s="435" t="s">
        <v>171</v>
      </c>
      <c r="C16" s="435"/>
      <c r="D16" s="309">
        <f>1.986/18</f>
        <v>0.11033333333333334</v>
      </c>
      <c r="E16" s="178" t="s">
        <v>170</v>
      </c>
      <c r="F16" s="427"/>
      <c r="G16" s="427"/>
      <c r="H16" s="427"/>
      <c r="I16" s="68"/>
    </row>
    <row r="17" spans="2:12" ht="15" customHeight="1">
      <c r="B17" s="188"/>
      <c r="C17" s="188"/>
      <c r="D17" s="189"/>
      <c r="E17" s="188"/>
      <c r="F17" s="188"/>
      <c r="G17" s="188"/>
      <c r="H17" s="188"/>
      <c r="I17" s="68"/>
    </row>
    <row r="18" spans="2:12" ht="15" customHeight="1">
      <c r="B18" s="439" t="s">
        <v>200</v>
      </c>
      <c r="C18" s="439"/>
      <c r="D18" s="439"/>
      <c r="E18" s="439"/>
      <c r="F18" s="439"/>
      <c r="G18" s="439"/>
      <c r="H18" s="439"/>
      <c r="I18" s="439"/>
      <c r="J18" s="439"/>
    </row>
    <row r="19" spans="2:12" ht="15" customHeight="1">
      <c r="B19" s="263" t="s">
        <v>207</v>
      </c>
      <c r="C19" s="264"/>
      <c r="D19" s="265">
        <v>100</v>
      </c>
      <c r="E19" s="184" t="s">
        <v>84</v>
      </c>
      <c r="F19" s="442" t="s">
        <v>208</v>
      </c>
      <c r="G19" s="443"/>
      <c r="H19" s="444"/>
      <c r="I19" s="284">
        <f ca="1">(OFFSET('Steam Properties'!$A$5,MATCH(D19,'Steam Properties'!$A$5:'Steam Properties'!$A$129,TRUE),1,1,1)-VLOOKUP(D19,'Steam Properties'!$A$5:'Steam Properties'!$F$129,2,TRUE))/(OFFSET('Steam Properties'!$A$5,MATCH(D19,'Steam Properties'!$A$5:'Steam Properties'!$A$129,TRUE),0,1,1)-VLOOKUP(D19,'Steam Properties'!$A$5:'Steam Properties'!$F$129,1,TRUE))*(D19-VLOOKUP(D19,'Steam Properties'!$A$5:'Steam Properties'!$F$129,1,TRUE))+VLOOKUP(D19,'Steam Properties'!$A$5:'Steam Properties'!$F$129,2,TRUE)</f>
        <v>338</v>
      </c>
      <c r="J19" s="184" t="s">
        <v>83</v>
      </c>
      <c r="L19" s="284"/>
    </row>
    <row r="20" spans="2:12" ht="15" customHeight="1">
      <c r="B20" s="433" t="s">
        <v>204</v>
      </c>
      <c r="C20" s="433"/>
      <c r="D20" s="266">
        <f ca="1">(OFFSET('Steam Properties'!$A$5,MATCH(D19,'Steam Properties'!$A$5:'Steam Properties'!$A$129,TRUE),1,1,1)-VLOOKUP(D19,'Steam Properties'!$A$5:'Steam Properties'!$F$129,3,TRUE))/(OFFSET('Steam Properties'!$A$5,MATCH(D19,'Steam Properties'!$A$5:'Steam Properties'!$A$129,TRUE),0,1,1)-VLOOKUP(D19,'Steam Properties'!$A$5:'Steam Properties'!$F$129,1,TRUE))*(D19-VLOOKUP(D19,'Steam Properties'!$A$5:'Steam Properties'!$F$129,1,TRUE))+VLOOKUP(D19,'Steam Properties'!$A$5:'Steam Properties'!$F$129,3,TRUE)</f>
        <v>3.89</v>
      </c>
      <c r="E20" s="190" t="s">
        <v>205</v>
      </c>
      <c r="F20" s="433" t="s">
        <v>202</v>
      </c>
      <c r="G20" s="433"/>
      <c r="H20" s="433"/>
      <c r="I20" s="267">
        <f ca="1">(OFFSET('Steam Properties'!$A$5,MATCH(D19,'Steam Properties'!$A$5:'Steam Properties'!$A$129,TRUE),1,1,1)-VLOOKUP(D19,'Steam Properties'!$A$5:'Steam Properties'!$F$129,4,TRUE))/(OFFSET('Steam Properties'!$A$5,MATCH(D19,'Steam Properties'!$A$5:'Steam Properties'!$A$129,TRUE),0,1,1)-VLOOKUP(D19,'Steam Properties'!$A$5:'Steam Properties'!$F$129,1,TRUE))*(D19-VLOOKUP(D19,'Steam Properties'!$A$5:'Steam Properties'!$F$129,1,TRUE))+VLOOKUP(D19,'Steam Properties'!$A$5:'Steam Properties'!$F$129,4,TRUE)</f>
        <v>309</v>
      </c>
      <c r="J20" s="185" t="s">
        <v>169</v>
      </c>
    </row>
    <row r="21" spans="2:12" ht="15" customHeight="1">
      <c r="B21" s="435" t="s">
        <v>201</v>
      </c>
      <c r="C21" s="435"/>
      <c r="D21" s="268">
        <f ca="1">(OFFSET('Steam Properties'!$A$5,MATCH(D19,'Steam Properties'!$A$5:'Steam Properties'!$A$129,TRUE),1,1,1)-VLOOKUP(D19,'Steam Properties'!$A$5:'Steam Properties'!$F$129,5,TRUE))/(OFFSET('Steam Properties'!$A$5,MATCH(D19,'Steam Properties'!$A$5:'Steam Properties'!$A$129,TRUE),0,1,1)-VLOOKUP(D19,'Steam Properties'!$A$5:'Steam Properties'!$F$129,1,TRUE))*(D19-VLOOKUP(D19,'Steam Properties'!$A$5:'Steam Properties'!$F$129,1,TRUE))+VLOOKUP(D19,'Steam Properties'!$A$5:'Steam Properties'!$F$129,5,TRUE)</f>
        <v>880</v>
      </c>
      <c r="E21" s="178" t="s">
        <v>169</v>
      </c>
      <c r="F21" s="435" t="s">
        <v>203</v>
      </c>
      <c r="G21" s="435"/>
      <c r="H21" s="435"/>
      <c r="I21" s="269">
        <f ca="1">(OFFSET('Steam Properties'!$A$5,MATCH(D19,'Steam Properties'!$A$5:'Steam Properties'!$A$129,TRUE),1,1,1)-VLOOKUP(D19,'Steam Properties'!$A$5:'Steam Properties'!$F$129,6,TRUE))/(OFFSET('Steam Properties'!$A$5,MATCH(D19,'Steam Properties'!$A$5:'Steam Properties'!$A$129,TRUE),0,1,1)-VLOOKUP(D19,'Steam Properties'!$A$5:'Steam Properties'!$F$129,1,TRUE))*(D19-VLOOKUP(D19,'Steam Properties'!$A$5:'Steam Properties'!$F$129,1,TRUE))+VLOOKUP(D19,'Steam Properties'!$A$5:'Steam Properties'!$F$129,6,TRUE)</f>
        <v>1189</v>
      </c>
      <c r="J21" s="178" t="s">
        <v>169</v>
      </c>
    </row>
    <row r="22" spans="2:12" ht="15" customHeight="1">
      <c r="B22" s="188"/>
      <c r="C22" s="188"/>
      <c r="D22" s="191"/>
      <c r="E22" s="188"/>
      <c r="F22" s="188"/>
      <c r="G22" s="188"/>
      <c r="H22" s="188"/>
      <c r="I22" s="153"/>
      <c r="J22" s="188"/>
    </row>
    <row r="23" spans="2:12" ht="15" customHeight="1">
      <c r="B23" s="439" t="s">
        <v>206</v>
      </c>
      <c r="C23" s="439"/>
      <c r="D23" s="439"/>
      <c r="E23" s="439"/>
      <c r="F23" s="439"/>
      <c r="G23" s="439"/>
      <c r="H23" s="439"/>
      <c r="I23" s="439"/>
      <c r="J23" s="439"/>
    </row>
    <row r="24" spans="2:12" ht="15" customHeight="1">
      <c r="B24" s="263" t="s">
        <v>209</v>
      </c>
      <c r="C24" s="264"/>
      <c r="D24" s="265">
        <v>100</v>
      </c>
      <c r="E24" s="184" t="s">
        <v>84</v>
      </c>
      <c r="F24" s="442" t="s">
        <v>210</v>
      </c>
      <c r="G24" s="443"/>
      <c r="H24" s="444"/>
      <c r="I24" s="284">
        <f ca="1">(OFFSET('Steam Properties'!$A$5,MATCH(D24,'Steam Properties'!$A$5:'Steam Properties'!$A$129,TRUE),1,1,1)-VLOOKUP(D24,'Steam Properties'!$A$5:'Steam Properties'!$F$129,2,TRUE))/(OFFSET('Steam Properties'!$A$5,MATCH(D24,'Steam Properties'!$A$5:'Steam Properties'!$A$129,TRUE),0,1,1)-VLOOKUP(D24,'Steam Properties'!$A$5:'Steam Properties'!$F$129,1,TRUE))*(D24-VLOOKUP(D24,'Steam Properties'!$A$5:'Steam Properties'!$F$129,1,TRUE))+VLOOKUP(D24,'Steam Properties'!$A$5:'Steam Properties'!$F$129,2,TRUE)</f>
        <v>338</v>
      </c>
      <c r="J24" s="184" t="s">
        <v>83</v>
      </c>
      <c r="L24" s="284"/>
    </row>
    <row r="25" spans="2:12" ht="15" customHeight="1">
      <c r="B25" s="433" t="s">
        <v>204</v>
      </c>
      <c r="C25" s="433"/>
      <c r="D25" s="266">
        <f ca="1">(OFFSET('Steam Properties'!$A$5,MATCH(D24,'Steam Properties'!$A$5:'Steam Properties'!$A$129,TRUE),1,1,1)-VLOOKUP(D24,'Steam Properties'!$A$5:'Steam Properties'!$F$129,3,TRUE))/(OFFSET('Steam Properties'!$A$5,MATCH(D24,'Steam Properties'!$A$5:'Steam Properties'!$A$129,TRUE),0,1,1)-VLOOKUP(D24,'Steam Properties'!$A$5:'Steam Properties'!$F$129,1,TRUE))*(D24-VLOOKUP(D24,'Steam Properties'!$A$5:'Steam Properties'!$F$129,1,TRUE))+VLOOKUP(D24,'Steam Properties'!$A$5:'Steam Properties'!$F$129,3,TRUE)</f>
        <v>3.89</v>
      </c>
      <c r="E25" s="190" t="s">
        <v>205</v>
      </c>
      <c r="F25" s="433" t="s">
        <v>202</v>
      </c>
      <c r="G25" s="433"/>
      <c r="H25" s="433"/>
      <c r="I25" s="267">
        <f ca="1">(OFFSET('Steam Properties'!$A$5,MATCH(D24,'Steam Properties'!$A$5:'Steam Properties'!$A$129,TRUE),1,1,1)-VLOOKUP(D24,'Steam Properties'!$A$5:'Steam Properties'!$F$129,4,TRUE))/(OFFSET('Steam Properties'!$A$5,MATCH(D24,'Steam Properties'!$A$5:'Steam Properties'!$A$129,TRUE),0,1,1)-VLOOKUP(D24,'Steam Properties'!$A$5:'Steam Properties'!$F$129,1,TRUE))*(D24-VLOOKUP(D24,'Steam Properties'!$A$5:'Steam Properties'!$F$129,1,TRUE))+VLOOKUP(D24,'Steam Properties'!$A$5:'Steam Properties'!$F$129,4,TRUE)</f>
        <v>309</v>
      </c>
      <c r="J25" s="185" t="s">
        <v>169</v>
      </c>
    </row>
    <row r="26" spans="2:12" ht="15" customHeight="1">
      <c r="B26" s="435" t="s">
        <v>201</v>
      </c>
      <c r="C26" s="435"/>
      <c r="D26" s="268">
        <f ca="1">(OFFSET('Steam Properties'!$A$5,MATCH(D24,'Steam Properties'!$A$5:'Steam Properties'!$A$129,TRUE),1,1,1)-VLOOKUP(D24,'Steam Properties'!$A$5:'Steam Properties'!$F$129,5,TRUE))/(OFFSET('Steam Properties'!$A$5,MATCH(D24,'Steam Properties'!$A$5:'Steam Properties'!$A$129,TRUE),0,1,1)-VLOOKUP(D24,'Steam Properties'!$A$5:'Steam Properties'!$F$129,1,TRUE))*(D24-VLOOKUP(D24,'Steam Properties'!$A$5:'Steam Properties'!$F$129,1,TRUE))+VLOOKUP(D24,'Steam Properties'!$A$5:'Steam Properties'!$F$129,5,TRUE)</f>
        <v>880</v>
      </c>
      <c r="E26" s="178" t="s">
        <v>169</v>
      </c>
      <c r="F26" s="435" t="s">
        <v>203</v>
      </c>
      <c r="G26" s="435"/>
      <c r="H26" s="435"/>
      <c r="I26" s="268">
        <f ca="1">(OFFSET('Steam Properties'!$A$5,MATCH(D24,'Steam Properties'!$A$5:'Steam Properties'!$A$129,TRUE),1,1,1)-VLOOKUP(D24,'Steam Properties'!$A$5:'Steam Properties'!$F$129,6,TRUE))/(OFFSET('Steam Properties'!$A$5,MATCH(D24,'Steam Properties'!$A$5:'Steam Properties'!$A$129,TRUE),0,1,1)-VLOOKUP(D24,'Steam Properties'!$A$5:'Steam Properties'!$F$129,1,TRUE))*(D24-VLOOKUP(D24,'Steam Properties'!$A$5:'Steam Properties'!$F$129,1,TRUE))+VLOOKUP(D24,'Steam Properties'!$A$5:'Steam Properties'!$F$129,6,TRUE)</f>
        <v>1189</v>
      </c>
      <c r="J26" s="178" t="s">
        <v>169</v>
      </c>
    </row>
    <row r="27" spans="2:12" ht="15" customHeight="1">
      <c r="B27" s="188"/>
      <c r="C27" s="188"/>
      <c r="D27" s="191"/>
      <c r="E27" s="188"/>
      <c r="F27" s="188"/>
      <c r="G27" s="188"/>
      <c r="H27" s="188"/>
      <c r="I27" s="191"/>
      <c r="J27" s="188"/>
    </row>
    <row r="28" spans="2:12" ht="15" customHeight="1">
      <c r="B28" s="439" t="s">
        <v>211</v>
      </c>
      <c r="C28" s="439"/>
      <c r="D28" s="439"/>
      <c r="E28" s="439"/>
      <c r="F28" s="439"/>
      <c r="G28" s="439"/>
      <c r="H28" s="439"/>
      <c r="I28" s="439"/>
      <c r="J28" s="439"/>
    </row>
    <row r="29" spans="2:12" ht="15" customHeight="1">
      <c r="B29" s="442" t="s">
        <v>56</v>
      </c>
      <c r="C29" s="444"/>
      <c r="D29" s="440"/>
      <c r="E29" s="441"/>
      <c r="F29" s="442" t="s">
        <v>199</v>
      </c>
      <c r="G29" s="443"/>
      <c r="H29" s="444"/>
      <c r="I29" s="270"/>
      <c r="J29" s="184" t="s">
        <v>223</v>
      </c>
    </row>
    <row r="30" spans="2:12" ht="15" customHeight="1">
      <c r="B30" s="435" t="s">
        <v>212</v>
      </c>
      <c r="C30" s="435"/>
      <c r="D30" s="271" t="e">
        <f>VLOOKUP($D$29,'Fuel Properties'!$A$7:$L$13,2,FALSE)</f>
        <v>#N/A</v>
      </c>
      <c r="E30" s="192" t="s">
        <v>39</v>
      </c>
      <c r="F30" s="435" t="s">
        <v>213</v>
      </c>
      <c r="G30" s="435"/>
      <c r="H30" s="435"/>
      <c r="I30" s="271" t="e">
        <f>VLOOKUP($D$29,'Fuel Properties'!$A$7:$L$13,3,FALSE)</f>
        <v>#N/A</v>
      </c>
      <c r="J30" s="178" t="s">
        <v>38</v>
      </c>
    </row>
    <row r="31" spans="2:12" ht="15" customHeight="1">
      <c r="B31" s="445" t="s">
        <v>214</v>
      </c>
      <c r="C31" s="446"/>
      <c r="D31" s="271" t="e">
        <f>VLOOKUP($D$29,'Fuel Properties'!$A$7:$L$13,4,FALSE)</f>
        <v>#N/A</v>
      </c>
      <c r="E31" s="178" t="s">
        <v>37</v>
      </c>
      <c r="F31" s="435" t="s">
        <v>215</v>
      </c>
      <c r="G31" s="435"/>
      <c r="H31" s="435"/>
      <c r="I31" s="271" t="e">
        <f>VLOOKUP($D$29,'Fuel Properties'!$A$7:$L$13,5,FALSE)</f>
        <v>#N/A</v>
      </c>
      <c r="J31" s="178" t="s">
        <v>221</v>
      </c>
    </row>
    <row r="32" spans="2:12" ht="15" customHeight="1">
      <c r="B32" s="435" t="s">
        <v>216</v>
      </c>
      <c r="C32" s="435"/>
      <c r="D32" s="271" t="e">
        <f>VLOOKUP($D$29,'Fuel Properties'!$A$7:$L$13,6,FALSE)</f>
        <v>#N/A</v>
      </c>
      <c r="E32" s="192" t="s">
        <v>222</v>
      </c>
      <c r="F32" s="435" t="s">
        <v>217</v>
      </c>
      <c r="G32" s="435"/>
      <c r="H32" s="435"/>
      <c r="I32" s="271" t="e">
        <f>VLOOKUP($D$29,'Fuel Properties'!$A$7:$L$13,7,FALSE)</f>
        <v>#N/A</v>
      </c>
      <c r="J32" s="178"/>
    </row>
    <row r="33" spans="1:13" ht="15" customHeight="1">
      <c r="B33" s="435" t="s">
        <v>218</v>
      </c>
      <c r="C33" s="435"/>
      <c r="D33" s="271" t="e">
        <f>VLOOKUP($D$29,'Fuel Properties'!$A$7:$L$13,8,FALSE)</f>
        <v>#N/A</v>
      </c>
      <c r="E33" s="192"/>
      <c r="F33" s="435" t="s">
        <v>219</v>
      </c>
      <c r="G33" s="435"/>
      <c r="H33" s="435"/>
      <c r="I33" s="272" t="e">
        <f>VLOOKUP($D$29,'Fuel Properties'!$A$7:$L$13,9,FALSE)</f>
        <v>#N/A</v>
      </c>
      <c r="J33" s="178" t="s">
        <v>169</v>
      </c>
    </row>
    <row r="34" spans="1:13" ht="15" customHeight="1">
      <c r="B34" s="454" t="s">
        <v>220</v>
      </c>
      <c r="C34" s="455"/>
      <c r="D34" s="267" t="e">
        <f>VLOOKUP($D$29,'Fuel Properties'!$A$7:$L$13,10,FALSE)</f>
        <v>#N/A</v>
      </c>
      <c r="E34" s="185" t="s">
        <v>234</v>
      </c>
      <c r="F34" s="435" t="s">
        <v>235</v>
      </c>
      <c r="G34" s="435"/>
      <c r="H34" s="435"/>
      <c r="I34" s="271" t="e">
        <f>VLOOKUP($D$29,'Fuel Properties'!$A$7:$L$13,11,FALSE)</f>
        <v>#N/A</v>
      </c>
      <c r="J34" s="192" t="s">
        <v>222</v>
      </c>
    </row>
    <row r="35" spans="1:13" ht="15" customHeight="1">
      <c r="B35" s="435" t="s">
        <v>236</v>
      </c>
      <c r="C35" s="435"/>
      <c r="D35" s="271" t="e">
        <f>VLOOKUP($D$29,'Fuel Properties'!$A$7:$L$13,12,FALSE)</f>
        <v>#N/A</v>
      </c>
      <c r="E35" s="192" t="s">
        <v>222</v>
      </c>
      <c r="F35" s="273"/>
      <c r="G35" s="273"/>
      <c r="H35" s="273"/>
      <c r="I35" s="179"/>
      <c r="J35" s="273"/>
    </row>
    <row r="36" spans="1:13" ht="15" customHeight="1">
      <c r="B36" s="188"/>
      <c r="C36" s="188"/>
      <c r="D36" s="193"/>
      <c r="E36" s="188"/>
      <c r="F36" s="188"/>
      <c r="G36" s="188"/>
      <c r="H36" s="188"/>
      <c r="I36" s="191"/>
      <c r="J36" s="188"/>
    </row>
    <row r="37" spans="1:13" ht="15" customHeight="1">
      <c r="B37" s="439" t="s">
        <v>197</v>
      </c>
      <c r="C37" s="439"/>
      <c r="D37" s="439"/>
      <c r="E37" s="439"/>
      <c r="F37" s="439"/>
      <c r="G37" s="439"/>
      <c r="H37" s="439"/>
      <c r="I37" s="439"/>
      <c r="J37" s="439"/>
    </row>
    <row r="38" spans="1:13" ht="15" customHeight="1">
      <c r="B38" s="426" t="s">
        <v>175</v>
      </c>
      <c r="C38" s="426"/>
      <c r="D38" s="274">
        <f ca="1">(D15*I15*I21)/(D16*(I19+460))</f>
        <v>0</v>
      </c>
      <c r="E38" s="194"/>
      <c r="F38" s="426" t="s">
        <v>172</v>
      </c>
      <c r="G38" s="426"/>
      <c r="H38" s="426"/>
      <c r="I38" s="275" t="e">
        <f ca="1">D38/(F49*I6)/(I7/F49-1)*0.00006</f>
        <v>#DIV/0!</v>
      </c>
      <c r="J38" s="194" t="s">
        <v>164</v>
      </c>
    </row>
    <row r="39" spans="1:13" ht="15" customHeight="1">
      <c r="B39" s="435" t="s">
        <v>173</v>
      </c>
      <c r="C39" s="435"/>
      <c r="D39" s="276" t="e">
        <f ca="1">D38/(F49*I6)/(1-F49/I7)*0.00006</f>
        <v>#DIV/0!</v>
      </c>
      <c r="E39" s="175" t="s">
        <v>164</v>
      </c>
      <c r="F39" s="435" t="s">
        <v>174</v>
      </c>
      <c r="G39" s="435"/>
      <c r="H39" s="435"/>
      <c r="I39" s="277" t="e">
        <f ca="1">D38/(F49*I6)*0.00006</f>
        <v>#DIV/0!</v>
      </c>
      <c r="J39" s="175" t="s">
        <v>164</v>
      </c>
    </row>
    <row r="40" spans="1:13" ht="15" customHeight="1">
      <c r="B40" s="188"/>
      <c r="C40" s="188"/>
      <c r="D40" s="154"/>
      <c r="E40" s="182"/>
      <c r="F40" s="188"/>
      <c r="G40" s="188"/>
      <c r="H40" s="188"/>
      <c r="I40" s="155"/>
      <c r="J40" s="182"/>
    </row>
    <row r="41" spans="1:13" ht="15" customHeight="1">
      <c r="B41" s="188"/>
      <c r="C41" s="188"/>
      <c r="D41" s="154"/>
      <c r="E41" s="182"/>
      <c r="F41" s="188"/>
      <c r="G41" s="188"/>
      <c r="H41" s="188"/>
      <c r="I41" s="155"/>
      <c r="J41" s="182"/>
    </row>
    <row r="42" spans="1:13" ht="15" customHeight="1">
      <c r="B42" s="188"/>
      <c r="C42" s="188"/>
      <c r="D42" s="154"/>
      <c r="E42" s="182"/>
      <c r="F42" s="188"/>
      <c r="G42" s="188"/>
      <c r="H42" s="188"/>
      <c r="I42" s="155"/>
      <c r="J42" s="182"/>
    </row>
    <row r="43" spans="1:13" ht="30" customHeight="1">
      <c r="A43" s="425" t="s">
        <v>124</v>
      </c>
      <c r="B43" s="425"/>
      <c r="C43" s="425"/>
      <c r="D43" s="425"/>
      <c r="E43" s="425"/>
      <c r="F43" s="425"/>
      <c r="G43" s="425"/>
      <c r="H43" s="425"/>
      <c r="I43" s="425"/>
      <c r="J43" s="425"/>
      <c r="K43" s="425"/>
    </row>
    <row r="44" spans="1:13" ht="15" customHeight="1"/>
    <row r="45" spans="1:13" ht="15" customHeight="1">
      <c r="B45" s="439" t="s">
        <v>57</v>
      </c>
      <c r="C45" s="439"/>
      <c r="D45" s="439"/>
      <c r="E45" s="439"/>
      <c r="F45" s="439"/>
      <c r="G45" s="439"/>
      <c r="H45" s="439"/>
      <c r="I45" s="439"/>
      <c r="J45" s="439"/>
    </row>
    <row r="46" spans="1:13" ht="15" customHeight="1">
      <c r="B46" s="452"/>
      <c r="C46" s="449" t="s">
        <v>100</v>
      </c>
      <c r="D46" s="450"/>
      <c r="E46" s="450"/>
      <c r="F46" s="451"/>
      <c r="G46" s="449" t="s">
        <v>82</v>
      </c>
      <c r="H46" s="450"/>
      <c r="I46" s="450"/>
      <c r="J46" s="451"/>
      <c r="M46" s="195"/>
    </row>
    <row r="47" spans="1:13" ht="15" customHeight="1">
      <c r="B47" s="453"/>
      <c r="C47" s="196" t="s">
        <v>51</v>
      </c>
      <c r="D47" s="197" t="s">
        <v>81</v>
      </c>
      <c r="E47" s="196" t="s">
        <v>50</v>
      </c>
      <c r="F47" s="197" t="s">
        <v>80</v>
      </c>
      <c r="G47" s="196" t="s">
        <v>51</v>
      </c>
      <c r="H47" s="197" t="s">
        <v>81</v>
      </c>
      <c r="I47" s="196" t="s">
        <v>50</v>
      </c>
      <c r="J47" s="197" t="s">
        <v>80</v>
      </c>
    </row>
    <row r="48" spans="1:13" ht="15" customHeight="1">
      <c r="B48" s="198" t="s">
        <v>79</v>
      </c>
      <c r="C48" s="199"/>
      <c r="D48" s="199"/>
      <c r="E48" s="199"/>
      <c r="F48" s="199"/>
      <c r="G48" s="199"/>
      <c r="H48" s="199"/>
      <c r="I48" s="199"/>
      <c r="J48" s="200"/>
    </row>
    <row r="49" spans="2:10" ht="15" customHeight="1">
      <c r="B49" s="201" t="s">
        <v>78</v>
      </c>
      <c r="C49" s="156">
        <v>1</v>
      </c>
      <c r="D49" s="157">
        <v>0.7</v>
      </c>
      <c r="E49" s="157">
        <v>0.4</v>
      </c>
      <c r="F49" s="158">
        <v>0.1</v>
      </c>
      <c r="G49" s="118">
        <f>C49</f>
        <v>1</v>
      </c>
      <c r="H49" s="119">
        <f>D49</f>
        <v>0.7</v>
      </c>
      <c r="I49" s="119">
        <f>E49</f>
        <v>0.4</v>
      </c>
      <c r="J49" s="120">
        <f>F49</f>
        <v>0.1</v>
      </c>
    </row>
    <row r="50" spans="2:10" ht="15" customHeight="1">
      <c r="B50" s="202" t="s">
        <v>237</v>
      </c>
      <c r="C50" s="63" t="str">
        <f>IF(C51=0,"-",C49*$I$6)</f>
        <v>-</v>
      </c>
      <c r="D50" s="64" t="str">
        <f>IF(D51=0,"-",D49*$I$6)</f>
        <v>-</v>
      </c>
      <c r="E50" s="64" t="str">
        <f>IF(E51=0,"-",E49*$I$6)</f>
        <v>-</v>
      </c>
      <c r="F50" s="65" t="str">
        <f>IF(F51=0,"-",F49*$I$6)</f>
        <v>-</v>
      </c>
      <c r="G50" s="63" t="str">
        <f>IF(G51=0,"-",IF(ISERROR(G72)=TRUE,C50,C50*C72/G72))</f>
        <v>-</v>
      </c>
      <c r="H50" s="64" t="str">
        <f>IF(H51=0,"-",IF(ISERROR(H72)=TRUE,D50,D50*D72/H72))</f>
        <v>-</v>
      </c>
      <c r="I50" s="64" t="str">
        <f>IF(I51=0,"-",IF(ISERROR(I72)=TRUE,E50,E50*E72/I72))</f>
        <v>-</v>
      </c>
      <c r="J50" s="65" t="str">
        <f>IF(J51=0,"-",IF(ISERROR(J72)=TRUE,F50,F50*F72/J72))</f>
        <v>-</v>
      </c>
    </row>
    <row r="51" spans="2:10" ht="15" customHeight="1">
      <c r="B51" s="201" t="s">
        <v>77</v>
      </c>
      <c r="C51" s="159">
        <v>0</v>
      </c>
      <c r="D51" s="160">
        <v>0</v>
      </c>
      <c r="E51" s="160">
        <v>0</v>
      </c>
      <c r="F51" s="161">
        <v>0</v>
      </c>
      <c r="G51" s="121">
        <f>C51</f>
        <v>0</v>
      </c>
      <c r="H51" s="122">
        <f>D51</f>
        <v>0</v>
      </c>
      <c r="I51" s="122">
        <f>E51</f>
        <v>0</v>
      </c>
      <c r="J51" s="123">
        <f>F51</f>
        <v>0</v>
      </c>
    </row>
    <row r="52" spans="2:10" ht="15" customHeight="1">
      <c r="B52" s="203" t="s">
        <v>238</v>
      </c>
      <c r="C52" s="37" t="str">
        <f>IF(C51=0,"-",C51*C50)</f>
        <v>-</v>
      </c>
      <c r="D52" s="38" t="str">
        <f>IF(D51=0,"-",D51*D50)</f>
        <v>-</v>
      </c>
      <c r="E52" s="38" t="str">
        <f>IF(E51=0,"-",E51*E50)</f>
        <v>-</v>
      </c>
      <c r="F52" s="39" t="str">
        <f>IF(F51=0,"-",F51*F50)</f>
        <v>-</v>
      </c>
      <c r="G52" s="37" t="str">
        <f>IF(G51=0,"-",C52*C72/G72)</f>
        <v>-</v>
      </c>
      <c r="H52" s="38" t="str">
        <f>IF(H51=0,"-",D52*D72/H72)</f>
        <v>-</v>
      </c>
      <c r="I52" s="38" t="str">
        <f>IF(I51=0,"-",E52*E72/I72)</f>
        <v>-</v>
      </c>
      <c r="J52" s="39" t="str">
        <f>IF(J51=0,"-",F52*F72/J72)</f>
        <v>-</v>
      </c>
    </row>
    <row r="53" spans="2:10" ht="15" customHeight="1">
      <c r="B53" s="204" t="s">
        <v>76</v>
      </c>
      <c r="C53" s="132"/>
      <c r="D53" s="132"/>
      <c r="E53" s="132"/>
      <c r="F53" s="132"/>
      <c r="G53" s="132"/>
      <c r="H53" s="132"/>
      <c r="I53" s="132"/>
      <c r="J53" s="133"/>
    </row>
    <row r="54" spans="2:10" ht="15" customHeight="1">
      <c r="B54" s="201" t="s">
        <v>75</v>
      </c>
      <c r="C54" s="162" t="s">
        <v>71</v>
      </c>
      <c r="D54" s="163" t="s">
        <v>71</v>
      </c>
      <c r="E54" s="163" t="s">
        <v>71</v>
      </c>
      <c r="F54" s="164" t="s">
        <v>71</v>
      </c>
      <c r="G54" s="124" t="str">
        <f>IF(C51=0,"-",MIN(I34,C54))</f>
        <v>-</v>
      </c>
      <c r="H54" s="125" t="str">
        <f>IF(D51=0,"-",MIN(I34,D54))</f>
        <v>-</v>
      </c>
      <c r="I54" s="125" t="str">
        <f>IF(E51=0,"-",MIN(D35,E54))</f>
        <v>-</v>
      </c>
      <c r="J54" s="126" t="str">
        <f>IF(F51=0,"-",MIN(D35,F54))</f>
        <v>-</v>
      </c>
    </row>
    <row r="55" spans="2:10" ht="15" customHeight="1">
      <c r="B55" s="202" t="s">
        <v>74</v>
      </c>
      <c r="C55" s="165" t="s">
        <v>71</v>
      </c>
      <c r="D55" s="166" t="s">
        <v>71</v>
      </c>
      <c r="E55" s="166" t="s">
        <v>71</v>
      </c>
      <c r="F55" s="167" t="s">
        <v>71</v>
      </c>
      <c r="G55" s="52" t="str">
        <f>IF(G51=0,"-",(1-G54)*($D$30*$D$34/12.01)/(($D$30*$D$34/12.01)+($I$30*$D$34/32)+((((($D$30*$D$34/12.01)+2*($I$30*$D$34/32))/(1-G54)+0.25*($D$31*$D$34/1.008)-($D$32*$D$34/32)+($I$31*$D$34/28.016)/3.76)/(1/3.76-G54/(1-G54))))))</f>
        <v>-</v>
      </c>
      <c r="H55" s="53" t="str">
        <f>IF(H51=0,"-",(1-H54)*($D$30*$D$34/12.01)/(($D$30*$D$34/12.01)+($I$30*$D$34/32)+((((($D$30*$D$34/12.01)+2*($I$30*$D$34/32))/(1-H54)+0.25*($D$31*$D$34/1.008)-($D$32*$D$34/32)+($I$31*$D$34/28.016)/3.76)/(1/3.76-H54/(1-H54))))))</f>
        <v>-</v>
      </c>
      <c r="I55" s="53" t="str">
        <f>IF(I51=0,"-",(1-I54)*($D$30*$D$34/12.01)/(($D$30*$D$34/12.01)+($I$30*$D$34/32)+((((($D$30*$D$34/12.01)+2*($I$30*$D$34/32))/(1-I54)+0.25*($D$31*$D$34/1.008)-($D$32*$D$34/32)+($I$31*$D$34/28.016)/3.76)/(1/3.76-I54/(1-I54))))))</f>
        <v>-</v>
      </c>
      <c r="J55" s="54" t="str">
        <f>IF(J51=0,"-",(1-J54)*($D$30*$D$34/12.01)/(($D$30*$D$34/12.01)+($I$30*$D$34/32)+((((($D$30*$D$34/12.01)+2*($I$30*$D$34/32))/(1-J54)+0.25*($D$31*$D$34/1.008)-($D$32*$D$34/32)+($I$31*$D$34/28.016)/3.76)/(1/3.76-J54/(1-J54))))))</f>
        <v>-</v>
      </c>
    </row>
    <row r="56" spans="2:10" ht="15" customHeight="1">
      <c r="B56" s="201" t="s">
        <v>73</v>
      </c>
      <c r="C56" s="168" t="s">
        <v>71</v>
      </c>
      <c r="D56" s="169" t="s">
        <v>71</v>
      </c>
      <c r="E56" s="169" t="s">
        <v>71</v>
      </c>
      <c r="F56" s="170" t="s">
        <v>71</v>
      </c>
      <c r="G56" s="383" t="str">
        <f>IF(G51=0,"-",C56)</f>
        <v>-</v>
      </c>
      <c r="H56" s="384" t="str">
        <f>IF(H51=0,"-",D56)</f>
        <v>-</v>
      </c>
      <c r="I56" s="384" t="str">
        <f>IF(I51=0,"-",E56)</f>
        <v>-</v>
      </c>
      <c r="J56" s="385" t="str">
        <f>IF(J51=0,"-",F56)</f>
        <v>-</v>
      </c>
    </row>
    <row r="57" spans="2:10" ht="15" customHeight="1">
      <c r="B57" s="202" t="s">
        <v>72</v>
      </c>
      <c r="C57" s="171" t="s">
        <v>71</v>
      </c>
      <c r="D57" s="172" t="s">
        <v>71</v>
      </c>
      <c r="E57" s="172" t="s">
        <v>71</v>
      </c>
      <c r="F57" s="173" t="s">
        <v>71</v>
      </c>
      <c r="G57" s="55" t="str">
        <f>IF(G51=0,"-",MIN(C57,$I$19+100))</f>
        <v>-</v>
      </c>
      <c r="H57" s="56" t="str">
        <f>IF(H51=0,"-",MIN(D57,$I$19+100))</f>
        <v>-</v>
      </c>
      <c r="I57" s="56" t="str">
        <f>IF(I51=0,"-",MIN(E57,$I$19+100))</f>
        <v>-</v>
      </c>
      <c r="J57" s="57" t="str">
        <f>IF(J51=0,"-",MIN(F57,$I$19+100))</f>
        <v>-</v>
      </c>
    </row>
    <row r="58" spans="2:10" ht="15" customHeight="1">
      <c r="B58" s="201" t="s">
        <v>70</v>
      </c>
      <c r="C58" s="127" t="str">
        <f t="shared" ref="C58:J58" si="0">IF(C51=0,"-",C57-$D$10)</f>
        <v>-</v>
      </c>
      <c r="D58" s="58" t="str">
        <f t="shared" si="0"/>
        <v>-</v>
      </c>
      <c r="E58" s="58" t="str">
        <f t="shared" si="0"/>
        <v>-</v>
      </c>
      <c r="F58" s="128" t="str">
        <f t="shared" si="0"/>
        <v>-</v>
      </c>
      <c r="G58" s="127" t="str">
        <f t="shared" si="0"/>
        <v>-</v>
      </c>
      <c r="H58" s="58" t="str">
        <f t="shared" si="0"/>
        <v>-</v>
      </c>
      <c r="I58" s="58" t="str">
        <f t="shared" si="0"/>
        <v>-</v>
      </c>
      <c r="J58" s="128" t="str">
        <f t="shared" si="0"/>
        <v>-</v>
      </c>
    </row>
    <row r="59" spans="2:10" ht="15" customHeight="1">
      <c r="B59" s="198" t="s">
        <v>69</v>
      </c>
      <c r="C59" s="134"/>
      <c r="D59" s="134"/>
      <c r="E59" s="134"/>
      <c r="F59" s="134"/>
      <c r="G59" s="134"/>
      <c r="H59" s="134"/>
      <c r="I59" s="134"/>
      <c r="J59" s="135"/>
    </row>
    <row r="60" spans="2:10" ht="15" customHeight="1">
      <c r="B60" s="25" t="s">
        <v>68</v>
      </c>
      <c r="C60" s="40" t="str">
        <f>IF(C51=0,"-",C50/$I$33*1000000/60/(1-$D$33))</f>
        <v>-</v>
      </c>
      <c r="D60" s="41" t="str">
        <f t="shared" ref="D60:J60" si="1">IF(D51=0,"-",D50/$I$33*1000000/60/(1-$D$33))</f>
        <v>-</v>
      </c>
      <c r="E60" s="41" t="str">
        <f>IF(E51=0,"-",E50/$I$33*1000000/60/(1-$D$33))</f>
        <v>-</v>
      </c>
      <c r="F60" s="42" t="str">
        <f t="shared" si="1"/>
        <v>-</v>
      </c>
      <c r="G60" s="40" t="str">
        <f t="shared" si="1"/>
        <v>-</v>
      </c>
      <c r="H60" s="41" t="str">
        <f>IF(H51=0,"-",H50/$I$33*1000000/60/(1-$D$33))</f>
        <v>-</v>
      </c>
      <c r="I60" s="41" t="str">
        <f t="shared" si="1"/>
        <v>-</v>
      </c>
      <c r="J60" s="42" t="str">
        <f t="shared" si="1"/>
        <v>-</v>
      </c>
    </row>
    <row r="61" spans="2:10" ht="15" customHeight="1">
      <c r="B61" s="203" t="s">
        <v>67</v>
      </c>
      <c r="C61" s="43" t="str">
        <f>IF(C51=0,"-",C60*4.76*28.96/$D$34*((1-C54)*(($D$30*$D$34/12.01)-($D$32*$D$34/32)+0.25*($D$31*$D$34/1.008))+C54*(($D$30*$D$34/12.01)+2*($I$30*$D$34/64)))/(1-2.76*C54))</f>
        <v>-</v>
      </c>
      <c r="D61" s="44" t="str">
        <f t="shared" ref="D61:I61" si="2">IF(D51=0,"-",D60*4.76*28.96/$D$34*((1-D54)*(($D$30*$D$34/12.01)-($D$32*$D$34/32)+0.25*($D$31*$D$34/1.008))+D54*(($D$30*$D$34/12.01)+2*($I$30*$D$34/64)))/(1-2.76*D54))</f>
        <v>-</v>
      </c>
      <c r="E61" s="44" t="str">
        <f t="shared" si="2"/>
        <v>-</v>
      </c>
      <c r="F61" s="45" t="str">
        <f t="shared" si="2"/>
        <v>-</v>
      </c>
      <c r="G61" s="43" t="str">
        <f>IF(G51=0,"-",G60*4.76*28.96/$D$34*((1-G54)*(($D$30*$D$34/12.01)-($D$32*$D$34/32)+0.25*($D$31*$D$34/1.008))+G54*(($D$30*$D$34/12.01)+2*($I$30*$D$34/64)))/(1-2.76*G54))</f>
        <v>-</v>
      </c>
      <c r="H61" s="44" t="str">
        <f t="shared" si="2"/>
        <v>-</v>
      </c>
      <c r="I61" s="44" t="str">
        <f t="shared" si="2"/>
        <v>-</v>
      </c>
      <c r="J61" s="45" t="str">
        <f>IF(J51=0,"-",J60*4.76*28.96/$D$34*((1-J54)*(($D$30*$D$34/12.01)-($D$32*$D$34/32)+0.25*($D$31*$D$34/1.008))+J54*(($D$30*$D$34/12.01)+2*($I$30*$D$34/64)))/(1-2.76*J54))</f>
        <v>-</v>
      </c>
    </row>
    <row r="62" spans="2:10" ht="15" customHeight="1">
      <c r="B62" s="198" t="s">
        <v>66</v>
      </c>
      <c r="C62" s="136"/>
      <c r="D62" s="136"/>
      <c r="E62" s="136"/>
      <c r="F62" s="136"/>
      <c r="G62" s="136"/>
      <c r="H62" s="136"/>
      <c r="I62" s="136"/>
      <c r="J62" s="137"/>
    </row>
    <row r="63" spans="2:10" ht="15" customHeight="1">
      <c r="B63" s="201" t="s">
        <v>65</v>
      </c>
      <c r="C63" s="129" t="str">
        <f>IF(C51=0,"-",(44.01*C55+32*C54+28.02*(1-C55-C54-C56*0.000001)+28.01*0.000001*C56)/(12.01*(C56*0.000001+C55))*($D$30+$I$30*12.01/32.07)*0.24*C58/$I$33)</f>
        <v>-</v>
      </c>
      <c r="D63" s="130" t="str">
        <f t="shared" ref="D63:J63" si="3">IF(D51=0,"-",(44.01*D55+32*D54+28.02*(1-D55-D54-D56*0.000001)+28.01*0.000001*D56)/(12.01*(D56*0.000001+D55))*($D$30+$I$30*12.01/32.07)*0.24*D58/$I$33)</f>
        <v>-</v>
      </c>
      <c r="E63" s="130" t="str">
        <f t="shared" si="3"/>
        <v>-</v>
      </c>
      <c r="F63" s="131" t="str">
        <f t="shared" si="3"/>
        <v>-</v>
      </c>
      <c r="G63" s="129" t="str">
        <f t="shared" si="3"/>
        <v>-</v>
      </c>
      <c r="H63" s="130" t="str">
        <f t="shared" si="3"/>
        <v>-</v>
      </c>
      <c r="I63" s="130" t="str">
        <f>IF(I51=0,"-",(44.01*I55+32*I54+28.02*(1-I55-I54-I56*0.000001)+28.01*0.000001*I56)/(12.01*(I56*0.000001+I55))*($D$30+$I$30*12.01/32.07)*0.24*I58/$I$33)</f>
        <v>-</v>
      </c>
      <c r="J63" s="131" t="str">
        <f t="shared" si="3"/>
        <v>-</v>
      </c>
    </row>
    <row r="64" spans="2:10" ht="15" customHeight="1">
      <c r="B64" s="202" t="s">
        <v>64</v>
      </c>
      <c r="C64" s="46" t="str">
        <f>IF(C51=0,"-",8.936*(0.445*C57+1060.7-($D$10-32))*$D$31/$I$33)</f>
        <v>-</v>
      </c>
      <c r="D64" s="47" t="str">
        <f t="shared" ref="D64:J64" si="4">IF(D51=0,"-",8.936*(0.445*D57+1060.7-($D$10-32))*$D$31/$I$33)</f>
        <v>-</v>
      </c>
      <c r="E64" s="47" t="str">
        <f t="shared" si="4"/>
        <v>-</v>
      </c>
      <c r="F64" s="48" t="str">
        <f t="shared" si="4"/>
        <v>-</v>
      </c>
      <c r="G64" s="46" t="str">
        <f t="shared" si="4"/>
        <v>-</v>
      </c>
      <c r="H64" s="47" t="str">
        <f t="shared" si="4"/>
        <v>-</v>
      </c>
      <c r="I64" s="47" t="str">
        <f>IF(I51=0,"-",8.936*(0.445*I57+1060.7-($D$10-32))*$D$31/$I$33)</f>
        <v>-</v>
      </c>
      <c r="J64" s="48" t="str">
        <f t="shared" si="4"/>
        <v>-</v>
      </c>
    </row>
    <row r="65" spans="2:10" ht="15" customHeight="1">
      <c r="B65" s="201" t="s">
        <v>63</v>
      </c>
      <c r="C65" s="129" t="str">
        <f>IF(C51=0,"-",IF($D$33=0,0,($D$33*(0.445*C57+1060.7-($D$10-32)))/$I$33))</f>
        <v>-</v>
      </c>
      <c r="D65" s="130" t="str">
        <f t="shared" ref="D65:J65" si="5">IF(D51=0,"-",IF($D$33=0,0,($D$33*(0.445*D57+1060.7-($D$10-32)))/$I$33))</f>
        <v>-</v>
      </c>
      <c r="E65" s="130" t="str">
        <f t="shared" si="5"/>
        <v>-</v>
      </c>
      <c r="F65" s="131" t="str">
        <f t="shared" si="5"/>
        <v>-</v>
      </c>
      <c r="G65" s="129" t="str">
        <f t="shared" si="5"/>
        <v>-</v>
      </c>
      <c r="H65" s="130" t="str">
        <f t="shared" si="5"/>
        <v>-</v>
      </c>
      <c r="I65" s="130" t="str">
        <f>IF(I51=0,"-",IF($D$33=0,0,($D$33*(0.445*I57+1060.7-($D$10-32)))/$I$33))</f>
        <v>-</v>
      </c>
      <c r="J65" s="131" t="str">
        <f t="shared" si="5"/>
        <v>-</v>
      </c>
    </row>
    <row r="66" spans="2:10" ht="15" customHeight="1">
      <c r="B66" s="202" t="s">
        <v>62</v>
      </c>
      <c r="C66" s="46" t="str">
        <f>IF(C51=0,"-",C56*0.000001/(C56*0.000001+C55)*10160*$D$30/$I$33)</f>
        <v>-</v>
      </c>
      <c r="D66" s="47" t="str">
        <f t="shared" ref="D66:J66" si="6">IF(D51=0,"-",D56*0.000001/(D56*0.000001+D55)*10160*$D$30/$I$33)</f>
        <v>-</v>
      </c>
      <c r="E66" s="47" t="str">
        <f t="shared" si="6"/>
        <v>-</v>
      </c>
      <c r="F66" s="48" t="str">
        <f t="shared" si="6"/>
        <v>-</v>
      </c>
      <c r="G66" s="46" t="str">
        <f t="shared" si="6"/>
        <v>-</v>
      </c>
      <c r="H66" s="47" t="str">
        <f t="shared" si="6"/>
        <v>-</v>
      </c>
      <c r="I66" s="47" t="str">
        <f t="shared" si="6"/>
        <v>-</v>
      </c>
      <c r="J66" s="48" t="str">
        <f t="shared" si="6"/>
        <v>-</v>
      </c>
    </row>
    <row r="67" spans="2:10" ht="15" customHeight="1">
      <c r="B67" s="201" t="s">
        <v>61</v>
      </c>
      <c r="C67" s="129" t="str">
        <f>IF(C51=0,"-",$I$32)</f>
        <v>-</v>
      </c>
      <c r="D67" s="130" t="str">
        <f t="shared" ref="D67:J67" si="7">IF(D51=0,"-",$I$32)</f>
        <v>-</v>
      </c>
      <c r="E67" s="130" t="str">
        <f t="shared" si="7"/>
        <v>-</v>
      </c>
      <c r="F67" s="131" t="str">
        <f t="shared" si="7"/>
        <v>-</v>
      </c>
      <c r="G67" s="129" t="str">
        <f t="shared" si="7"/>
        <v>-</v>
      </c>
      <c r="H67" s="130" t="str">
        <f t="shared" si="7"/>
        <v>-</v>
      </c>
      <c r="I67" s="130" t="str">
        <f t="shared" si="7"/>
        <v>-</v>
      </c>
      <c r="J67" s="131" t="str">
        <f t="shared" si="7"/>
        <v>-</v>
      </c>
    </row>
    <row r="68" spans="2:10" ht="15" customHeight="1">
      <c r="B68" s="202" t="s">
        <v>60</v>
      </c>
      <c r="C68" s="46" t="str">
        <f>IF(C51=0,"-",(0.445*C57+1060.7-($D$10-32))*$D$12*(C61/C60)/$I$33)</f>
        <v>-</v>
      </c>
      <c r="D68" s="47" t="str">
        <f t="shared" ref="D68:J68" si="8">IF(D51=0,"-",(0.445*D57+1060.7-($D$10-32))*$D$12*(D61/D60)/$I$33)</f>
        <v>-</v>
      </c>
      <c r="E68" s="47" t="str">
        <f t="shared" si="8"/>
        <v>-</v>
      </c>
      <c r="F68" s="48" t="str">
        <f t="shared" si="8"/>
        <v>-</v>
      </c>
      <c r="G68" s="46" t="str">
        <f t="shared" si="8"/>
        <v>-</v>
      </c>
      <c r="H68" s="47" t="str">
        <f t="shared" si="8"/>
        <v>-</v>
      </c>
      <c r="I68" s="47" t="str">
        <f t="shared" si="8"/>
        <v>-</v>
      </c>
      <c r="J68" s="48" t="str">
        <f t="shared" si="8"/>
        <v>-</v>
      </c>
    </row>
    <row r="69" spans="2:10" ht="15" customHeight="1">
      <c r="B69" s="201" t="s">
        <v>59</v>
      </c>
      <c r="C69" s="129" t="str">
        <f t="shared" ref="C69:I69" si="9">IF(C51=0,"-",1-C63-C64-C65-C66-C67-C68)</f>
        <v>-</v>
      </c>
      <c r="D69" s="130" t="str">
        <f t="shared" si="9"/>
        <v>-</v>
      </c>
      <c r="E69" s="130" t="str">
        <f t="shared" si="9"/>
        <v>-</v>
      </c>
      <c r="F69" s="131" t="str">
        <f t="shared" si="9"/>
        <v>-</v>
      </c>
      <c r="G69" s="129" t="str">
        <f>IF(G51=0,"-",1-G63-G64-G65-G66-G67-G68)</f>
        <v>-</v>
      </c>
      <c r="H69" s="130" t="str">
        <f t="shared" si="9"/>
        <v>-</v>
      </c>
      <c r="I69" s="130" t="str">
        <f t="shared" si="9"/>
        <v>-</v>
      </c>
      <c r="J69" s="131" t="str">
        <f>IF(J51=0,"-",1-J63-J64-J65-J66-J67-J68)</f>
        <v>-</v>
      </c>
    </row>
    <row r="70" spans="2:10" ht="15" customHeight="1">
      <c r="B70" s="202" t="s">
        <v>98</v>
      </c>
      <c r="C70" s="46" t="str">
        <f t="shared" ref="C70:J70" si="10">IF(C51=0,"-",(0.359+18.2842/$I$6-7.1088/$I$6^2)/100/C49)</f>
        <v>-</v>
      </c>
      <c r="D70" s="47" t="str">
        <f t="shared" si="10"/>
        <v>-</v>
      </c>
      <c r="E70" s="47" t="str">
        <f t="shared" si="10"/>
        <v>-</v>
      </c>
      <c r="F70" s="48" t="str">
        <f t="shared" si="10"/>
        <v>-</v>
      </c>
      <c r="G70" s="46" t="str">
        <f t="shared" si="10"/>
        <v>-</v>
      </c>
      <c r="H70" s="47" t="str">
        <f t="shared" si="10"/>
        <v>-</v>
      </c>
      <c r="I70" s="47" t="str">
        <f t="shared" si="10"/>
        <v>-</v>
      </c>
      <c r="J70" s="48" t="str">
        <f t="shared" si="10"/>
        <v>-</v>
      </c>
    </row>
    <row r="71" spans="2:10" ht="15" customHeight="1">
      <c r="B71" s="201" t="s">
        <v>58</v>
      </c>
      <c r="C71" s="129" t="s">
        <v>71</v>
      </c>
      <c r="D71" s="130" t="s">
        <v>71</v>
      </c>
      <c r="E71" s="130" t="s">
        <v>71</v>
      </c>
      <c r="F71" s="131" t="str">
        <f>IF(F51=0,"-",D61*0.252*D11*(I19-D10)*2*D7/D6*(F49&lt;I7)/(1000000*F50))</f>
        <v>-</v>
      </c>
      <c r="G71" s="129" t="s">
        <v>71</v>
      </c>
      <c r="H71" s="130" t="s">
        <v>71</v>
      </c>
      <c r="I71" s="130" t="s">
        <v>71</v>
      </c>
      <c r="J71" s="131" t="str">
        <f>IF(J51=0,"-",H61*0.252*D11*(I19-D10)*2*D7/D6*(J49&lt;I7)/(1000000*J50))</f>
        <v>-</v>
      </c>
    </row>
    <row r="72" spans="2:10" ht="15" customHeight="1">
      <c r="B72" s="205" t="s">
        <v>57</v>
      </c>
      <c r="C72" s="49" t="str">
        <f>IF(C51=0,"-",IF(C69-C70&lt;0,0,C69-C70))</f>
        <v>-</v>
      </c>
      <c r="D72" s="50" t="str">
        <f>IF(D51=0,"-",IF(D69-D70&lt;0,0,D69-D70))</f>
        <v>-</v>
      </c>
      <c r="E72" s="50" t="str">
        <f>IF(E51=0,"-",IF(E69-E70&lt;0,0,E69-E70))</f>
        <v>-</v>
      </c>
      <c r="F72" s="51" t="str">
        <f>IF(F51=0,"-",IF(F69-F70-F71&lt;0,0,F69-F70-F71))</f>
        <v>-</v>
      </c>
      <c r="G72" s="49" t="str">
        <f>IF(G51=0,"-",IF(G69-G70&lt;0,0,G69-G70))</f>
        <v>-</v>
      </c>
      <c r="H72" s="50" t="str">
        <f>IF(H51=0,"-",IF(H69-H70&lt;0,0,H69-H70))</f>
        <v>-</v>
      </c>
      <c r="I72" s="50" t="str">
        <f>IF(I51=0,"-",IF(I69-I70&lt;0,0,I69-I70))</f>
        <v>-</v>
      </c>
      <c r="J72" s="51" t="str">
        <f>IF(J51=0,"-",IF(J69-J70-J71&lt;0,0,J69-J70-J71))</f>
        <v>-</v>
      </c>
    </row>
    <row r="75" spans="2:10">
      <c r="B75" s="278" t="s">
        <v>142</v>
      </c>
    </row>
    <row r="77" spans="2:10">
      <c r="B77" s="447" t="s">
        <v>227</v>
      </c>
      <c r="C77" s="447"/>
      <c r="D77" s="447"/>
      <c r="E77" s="447"/>
      <c r="F77" s="447"/>
      <c r="G77" s="447"/>
      <c r="H77" s="447"/>
      <c r="I77" s="447"/>
      <c r="J77" s="447"/>
    </row>
    <row r="78" spans="2:10">
      <c r="B78" s="447"/>
      <c r="C78" s="447"/>
      <c r="D78" s="447"/>
      <c r="E78" s="447"/>
      <c r="F78" s="447"/>
      <c r="G78" s="447"/>
      <c r="H78" s="447"/>
      <c r="I78" s="447"/>
      <c r="J78" s="447"/>
    </row>
    <row r="79" spans="2:10">
      <c r="B79" s="447"/>
      <c r="C79" s="447"/>
      <c r="D79" s="447"/>
      <c r="E79" s="447"/>
      <c r="F79" s="447"/>
      <c r="G79" s="447"/>
      <c r="H79" s="447"/>
      <c r="I79" s="447"/>
      <c r="J79" s="447"/>
    </row>
  </sheetData>
  <sheetProtection password="E0B2" sheet="1" objects="1" scenarios="1" selectLockedCells="1"/>
  <mergeCells count="63">
    <mergeCell ref="B77:J79"/>
    <mergeCell ref="B35:C35"/>
    <mergeCell ref="B37:J37"/>
    <mergeCell ref="B38:C38"/>
    <mergeCell ref="F38:H38"/>
    <mergeCell ref="B39:C39"/>
    <mergeCell ref="F39:H39"/>
    <mergeCell ref="A43:K43"/>
    <mergeCell ref="B45:J45"/>
    <mergeCell ref="B46:B47"/>
    <mergeCell ref="C46:F46"/>
    <mergeCell ref="G46:J46"/>
    <mergeCell ref="B32:C32"/>
    <mergeCell ref="F32:H32"/>
    <mergeCell ref="B33:C33"/>
    <mergeCell ref="F33:H33"/>
    <mergeCell ref="B34:C34"/>
    <mergeCell ref="F34:H34"/>
    <mergeCell ref="B31:C31"/>
    <mergeCell ref="F31:H31"/>
    <mergeCell ref="F24:H24"/>
    <mergeCell ref="B25:C25"/>
    <mergeCell ref="F25:H25"/>
    <mergeCell ref="B26:C26"/>
    <mergeCell ref="F26:H26"/>
    <mergeCell ref="B28:J28"/>
    <mergeCell ref="B29:C29"/>
    <mergeCell ref="D29:E29"/>
    <mergeCell ref="F29:H29"/>
    <mergeCell ref="B30:C30"/>
    <mergeCell ref="F30:H30"/>
    <mergeCell ref="B23:J23"/>
    <mergeCell ref="B14:J14"/>
    <mergeCell ref="B15:C15"/>
    <mergeCell ref="F15:H15"/>
    <mergeCell ref="B16:C16"/>
    <mergeCell ref="F16:H16"/>
    <mergeCell ref="B18:J18"/>
    <mergeCell ref="F19:H19"/>
    <mergeCell ref="B20:C20"/>
    <mergeCell ref="F20:H20"/>
    <mergeCell ref="B21:C21"/>
    <mergeCell ref="F21:H21"/>
    <mergeCell ref="B12:C12"/>
    <mergeCell ref="F12:H12"/>
    <mergeCell ref="B5:C5"/>
    <mergeCell ref="D5:E5"/>
    <mergeCell ref="F5:H5"/>
    <mergeCell ref="B6:C6"/>
    <mergeCell ref="F6:H6"/>
    <mergeCell ref="B7:C7"/>
    <mergeCell ref="F7:H7"/>
    <mergeCell ref="B9:J9"/>
    <mergeCell ref="B10:C10"/>
    <mergeCell ref="F10:H10"/>
    <mergeCell ref="B11:C11"/>
    <mergeCell ref="F11:H11"/>
    <mergeCell ref="A1:K1"/>
    <mergeCell ref="B3:J3"/>
    <mergeCell ref="B4:C4"/>
    <mergeCell ref="D4:E4"/>
    <mergeCell ref="F4:H4"/>
    <mergeCell ref="I4:J4"/>
  </mergeCells>
  <dataValidations count="9">
    <dataValidation type="list" allowBlank="1" showInputMessage="1" showErrorMessage="1" sqref="D29">
      <formula1>'Fuel Properties'!A7:A13</formula1>
    </dataValidation>
    <dataValidation type="list" allowBlank="1" showInputMessage="1" showErrorMessage="1" sqref="D5">
      <formula1>"Full Modulating,Low-High-Off,On-Off"</formula1>
    </dataValidation>
    <dataValidation allowBlank="1" showInputMessage="1" showErrorMessage="1" prompt="Default value is 30 seconds" sqref="D7"/>
    <dataValidation allowBlank="1" showInputMessage="1" showErrorMessage="1" prompt="Default Value is 20%" sqref="I7"/>
    <dataValidation allowBlank="1" showInputMessage="1" showErrorMessage="1" prompt="Default Value is 80F" sqref="D10"/>
    <dataValidation allowBlank="1" showInputMessage="1" showErrorMessage="1" prompt="Default Value is 50F" sqref="I10"/>
    <dataValidation allowBlank="1" showInputMessage="1" showErrorMessage="1" prompt="Default Value is 75%" sqref="D11"/>
    <dataValidation allowBlank="1" showInputMessage="1" showErrorMessage="1" prompt="Default Value is 10 psi" sqref="D15"/>
    <dataValidation allowBlank="1" showInputMessage="1" showErrorMessage="1" prompt="Default Value is 0.2 ft3/Boiler Hp" sqref="I15"/>
  </dataValidations>
  <printOptions horizontalCentered="1"/>
  <pageMargins left="0.2" right="0.2" top="0.75" bottom="0.75" header="0.3" footer="0.3"/>
  <pageSetup orientation="portrait" r:id="rId1"/>
  <rowBreaks count="1" manualBreakCount="1">
    <brk id="42" max="10" man="1"/>
  </rowBreaks>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dimension ref="A1:N79"/>
  <sheetViews>
    <sheetView view="pageBreakPreview" zoomScaleNormal="100" zoomScaleSheetLayoutView="100" workbookViewId="0">
      <selection activeCell="D4" sqref="D4:E4"/>
    </sheetView>
  </sheetViews>
  <sheetFormatPr defaultRowHeight="15"/>
  <cols>
    <col min="1" max="1" width="1.42578125" style="67" customWidth="1"/>
    <col min="2" max="2" width="19.140625" style="67" customWidth="1"/>
    <col min="3" max="10" width="9.5703125" style="67" customWidth="1"/>
    <col min="11" max="11" width="1.42578125" style="67" customWidth="1"/>
    <col min="12" max="16" width="9.28515625" style="67" customWidth="1"/>
    <col min="17" max="16384" width="9.140625" style="67"/>
  </cols>
  <sheetData>
    <row r="1" spans="1:14" ht="30" customHeight="1">
      <c r="A1" s="425" t="s">
        <v>124</v>
      </c>
      <c r="B1" s="425"/>
      <c r="C1" s="425"/>
      <c r="D1" s="425"/>
      <c r="E1" s="425"/>
      <c r="F1" s="425"/>
      <c r="G1" s="425"/>
      <c r="H1" s="425"/>
      <c r="I1" s="425"/>
      <c r="J1" s="425"/>
      <c r="K1" s="425"/>
      <c r="L1" s="174"/>
      <c r="M1" s="174"/>
    </row>
    <row r="2" spans="1:14" ht="15" customHeight="1"/>
    <row r="3" spans="1:14" ht="15" customHeight="1">
      <c r="B3" s="439" t="s">
        <v>194</v>
      </c>
      <c r="C3" s="439"/>
      <c r="D3" s="439"/>
      <c r="E3" s="439"/>
      <c r="F3" s="439"/>
      <c r="G3" s="439"/>
      <c r="H3" s="439"/>
      <c r="I3" s="439"/>
      <c r="J3" s="439"/>
    </row>
    <row r="4" spans="1:14" ht="15" customHeight="1">
      <c r="B4" s="428" t="s">
        <v>96</v>
      </c>
      <c r="C4" s="430"/>
      <c r="D4" s="437"/>
      <c r="E4" s="438"/>
      <c r="F4" s="432" t="s">
        <v>239</v>
      </c>
      <c r="G4" s="432"/>
      <c r="H4" s="432"/>
      <c r="I4" s="448"/>
      <c r="J4" s="448"/>
      <c r="K4" s="68"/>
    </row>
    <row r="5" spans="1:14" ht="15" customHeight="1">
      <c r="B5" s="432" t="s">
        <v>95</v>
      </c>
      <c r="C5" s="432"/>
      <c r="D5" s="437"/>
      <c r="E5" s="438"/>
      <c r="F5" s="428" t="s">
        <v>77</v>
      </c>
      <c r="G5" s="429"/>
      <c r="H5" s="430"/>
      <c r="I5" s="247">
        <f>SUM(C51:F51)</f>
        <v>0</v>
      </c>
      <c r="J5" s="175" t="s">
        <v>92</v>
      </c>
    </row>
    <row r="6" spans="1:14" ht="15" customHeight="1">
      <c r="B6" s="434" t="s">
        <v>176</v>
      </c>
      <c r="C6" s="434"/>
      <c r="D6" s="249" t="e">
        <f ca="1">D38/((I7-F49)*I6)*(I7/F49)*0.00006</f>
        <v>#DIV/0!</v>
      </c>
      <c r="E6" s="176" t="s">
        <v>164</v>
      </c>
      <c r="F6" s="434" t="s">
        <v>94</v>
      </c>
      <c r="G6" s="434"/>
      <c r="H6" s="434"/>
      <c r="I6" s="251"/>
      <c r="J6" s="177" t="s">
        <v>93</v>
      </c>
    </row>
    <row r="7" spans="1:14" ht="15" customHeight="1">
      <c r="B7" s="435" t="s">
        <v>162</v>
      </c>
      <c r="C7" s="435"/>
      <c r="D7" s="252"/>
      <c r="E7" s="178" t="s">
        <v>163</v>
      </c>
      <c r="F7" s="432" t="s">
        <v>160</v>
      </c>
      <c r="G7" s="432"/>
      <c r="H7" s="432"/>
      <c r="I7" s="254"/>
      <c r="J7" s="248"/>
      <c r="N7" s="179"/>
    </row>
    <row r="8" spans="1:14" ht="15" customHeight="1">
      <c r="B8" s="188"/>
      <c r="C8" s="188"/>
      <c r="D8" s="181"/>
      <c r="E8" s="188"/>
      <c r="F8" s="182"/>
      <c r="G8" s="182"/>
      <c r="H8" s="182"/>
      <c r="I8" s="183"/>
      <c r="J8" s="182"/>
      <c r="N8" s="179"/>
    </row>
    <row r="9" spans="1:14" ht="15" customHeight="1">
      <c r="B9" s="439" t="s">
        <v>195</v>
      </c>
      <c r="C9" s="439"/>
      <c r="D9" s="439"/>
      <c r="E9" s="439"/>
      <c r="F9" s="439"/>
      <c r="G9" s="439"/>
      <c r="H9" s="439"/>
      <c r="I9" s="439"/>
      <c r="J9" s="439"/>
    </row>
    <row r="10" spans="1:14" ht="15" customHeight="1">
      <c r="B10" s="426" t="s">
        <v>91</v>
      </c>
      <c r="C10" s="426"/>
      <c r="D10" s="255"/>
      <c r="E10" s="256" t="s">
        <v>226</v>
      </c>
      <c r="F10" s="431" t="s">
        <v>198</v>
      </c>
      <c r="G10" s="431"/>
      <c r="H10" s="431"/>
      <c r="I10" s="257"/>
      <c r="J10" s="184" t="s">
        <v>83</v>
      </c>
    </row>
    <row r="11" spans="1:14" ht="15" customHeight="1">
      <c r="B11" s="433" t="s">
        <v>161</v>
      </c>
      <c r="C11" s="433"/>
      <c r="D11" s="258"/>
      <c r="E11" s="250"/>
      <c r="F11" s="434" t="s">
        <v>86</v>
      </c>
      <c r="G11" s="434"/>
      <c r="H11" s="434"/>
      <c r="I11" s="259">
        <f>-0.0000000000000723527*I12^3+0.00000000795644*I12^2-0.00053178*I12+14.6958</f>
        <v>14.6958</v>
      </c>
      <c r="J11" s="185" t="s">
        <v>85</v>
      </c>
    </row>
    <row r="12" spans="1:14" ht="15" customHeight="1">
      <c r="B12" s="432" t="s">
        <v>88</v>
      </c>
      <c r="C12" s="432"/>
      <c r="D12" s="260"/>
      <c r="E12" s="253" t="s">
        <v>87</v>
      </c>
      <c r="F12" s="435" t="s">
        <v>90</v>
      </c>
      <c r="G12" s="435"/>
      <c r="H12" s="435"/>
      <c r="I12" s="260"/>
      <c r="J12" s="175" t="s">
        <v>89</v>
      </c>
    </row>
    <row r="13" spans="1:14" ht="15" customHeight="1">
      <c r="B13" s="182"/>
      <c r="C13" s="182"/>
      <c r="D13" s="186"/>
      <c r="E13" s="188"/>
      <c r="F13" s="188"/>
      <c r="G13" s="188"/>
      <c r="H13" s="188"/>
      <c r="I13" s="186"/>
      <c r="J13" s="182"/>
    </row>
    <row r="14" spans="1:14" ht="15" customHeight="1">
      <c r="B14" s="439" t="s">
        <v>196</v>
      </c>
      <c r="C14" s="439"/>
      <c r="D14" s="439"/>
      <c r="E14" s="439"/>
      <c r="F14" s="439"/>
      <c r="G14" s="439"/>
      <c r="H14" s="439"/>
      <c r="I14" s="439"/>
      <c r="J14" s="439"/>
    </row>
    <row r="15" spans="1:14" ht="15" customHeight="1">
      <c r="A15" s="87"/>
      <c r="B15" s="436" t="s">
        <v>165</v>
      </c>
      <c r="C15" s="436"/>
      <c r="D15" s="261"/>
      <c r="E15" s="187" t="s">
        <v>166</v>
      </c>
      <c r="F15" s="426" t="s">
        <v>167</v>
      </c>
      <c r="G15" s="426"/>
      <c r="H15" s="426"/>
      <c r="I15" s="262">
        <f>I6*29.876249572*0.2</f>
        <v>0</v>
      </c>
      <c r="J15" s="184" t="s">
        <v>168</v>
      </c>
    </row>
    <row r="16" spans="1:14" ht="15" customHeight="1">
      <c r="B16" s="435" t="s">
        <v>171</v>
      </c>
      <c r="C16" s="435"/>
      <c r="D16" s="309">
        <f>1.986/18</f>
        <v>0.11033333333333334</v>
      </c>
      <c r="E16" s="178" t="s">
        <v>170</v>
      </c>
      <c r="F16" s="427"/>
      <c r="G16" s="427"/>
      <c r="H16" s="427"/>
      <c r="I16" s="68"/>
    </row>
    <row r="17" spans="2:12" ht="15" customHeight="1">
      <c r="B17" s="188"/>
      <c r="C17" s="188"/>
      <c r="D17" s="189"/>
      <c r="E17" s="188"/>
      <c r="F17" s="188"/>
      <c r="G17" s="188"/>
      <c r="H17" s="188"/>
      <c r="I17" s="68"/>
    </row>
    <row r="18" spans="2:12" ht="15" customHeight="1">
      <c r="B18" s="439" t="s">
        <v>200</v>
      </c>
      <c r="C18" s="439"/>
      <c r="D18" s="439"/>
      <c r="E18" s="439"/>
      <c r="F18" s="439"/>
      <c r="G18" s="439"/>
      <c r="H18" s="439"/>
      <c r="I18" s="439"/>
      <c r="J18" s="439"/>
    </row>
    <row r="19" spans="2:12" ht="15" customHeight="1">
      <c r="B19" s="263" t="s">
        <v>207</v>
      </c>
      <c r="C19" s="264"/>
      <c r="D19" s="265"/>
      <c r="E19" s="184" t="s">
        <v>84</v>
      </c>
      <c r="F19" s="442" t="s">
        <v>208</v>
      </c>
      <c r="G19" s="443"/>
      <c r="H19" s="444"/>
      <c r="I19" s="284">
        <f ca="1">(OFFSET('Steam Properties'!$A$5,MATCH(D19,'Steam Properties'!$A$5:'Steam Properties'!$A$129,TRUE),1,1,1)-VLOOKUP(D19,'Steam Properties'!$A$5:'Steam Properties'!$F$129,2,TRUE))/(OFFSET('Steam Properties'!$A$5,MATCH(D19,'Steam Properties'!$A$5:'Steam Properties'!$A$129,TRUE),0,1,1)-VLOOKUP(D19,'Steam Properties'!$A$5:'Steam Properties'!$F$129,1,TRUE))*(D19-VLOOKUP(D19,'Steam Properties'!$A$5:'Steam Properties'!$F$129,1,TRUE))+VLOOKUP(D19,'Steam Properties'!$A$5:'Steam Properties'!$F$129,2,TRUE)</f>
        <v>212</v>
      </c>
      <c r="J19" s="184" t="s">
        <v>83</v>
      </c>
      <c r="L19" s="284"/>
    </row>
    <row r="20" spans="2:12" ht="15" customHeight="1">
      <c r="B20" s="433" t="s">
        <v>204</v>
      </c>
      <c r="C20" s="433"/>
      <c r="D20" s="266">
        <f ca="1">(OFFSET('Steam Properties'!$A$5,MATCH(D19,'Steam Properties'!$A$5:'Steam Properties'!$A$129,TRUE),1,1,1)-VLOOKUP(D19,'Steam Properties'!$A$5:'Steam Properties'!$F$129,3,TRUE))/(OFFSET('Steam Properties'!$A$5,MATCH(D19,'Steam Properties'!$A$5:'Steam Properties'!$A$129,TRUE),0,1,1)-VLOOKUP(D19,'Steam Properties'!$A$5:'Steam Properties'!$F$129,1,TRUE))*(D19-VLOOKUP(D19,'Steam Properties'!$A$5:'Steam Properties'!$F$129,1,TRUE))+VLOOKUP(D19,'Steam Properties'!$A$5:'Steam Properties'!$F$129,3,TRUE)</f>
        <v>26.8</v>
      </c>
      <c r="E20" s="190" t="s">
        <v>205</v>
      </c>
      <c r="F20" s="433" t="s">
        <v>202</v>
      </c>
      <c r="G20" s="433"/>
      <c r="H20" s="433"/>
      <c r="I20" s="267">
        <f ca="1">(OFFSET('Steam Properties'!$A$5,MATCH(D19,'Steam Properties'!$A$5:'Steam Properties'!$A$129,TRUE),1,1,1)-VLOOKUP(D19,'Steam Properties'!$A$5:'Steam Properties'!$F$129,4,TRUE))/(OFFSET('Steam Properties'!$A$5,MATCH(D19,'Steam Properties'!$A$5:'Steam Properties'!$A$129,TRUE),0,1,1)-VLOOKUP(D19,'Steam Properties'!$A$5:'Steam Properties'!$F$129,1,TRUE))*(D19-VLOOKUP(D19,'Steam Properties'!$A$5:'Steam Properties'!$F$129,1,TRUE))+VLOOKUP(D19,'Steam Properties'!$A$5:'Steam Properties'!$F$129,4,TRUE)</f>
        <v>180</v>
      </c>
      <c r="J20" s="185" t="s">
        <v>169</v>
      </c>
    </row>
    <row r="21" spans="2:12" ht="15" customHeight="1">
      <c r="B21" s="435" t="s">
        <v>201</v>
      </c>
      <c r="C21" s="435"/>
      <c r="D21" s="268">
        <f ca="1">(OFFSET('Steam Properties'!$A$5,MATCH(D19,'Steam Properties'!$A$5:'Steam Properties'!$A$129,TRUE),1,1,1)-VLOOKUP(D19,'Steam Properties'!$A$5:'Steam Properties'!$F$129,5,TRUE))/(OFFSET('Steam Properties'!$A$5,MATCH(D19,'Steam Properties'!$A$5:'Steam Properties'!$A$129,TRUE),0,1,1)-VLOOKUP(D19,'Steam Properties'!$A$5:'Steam Properties'!$F$129,1,TRUE))*(D19-VLOOKUP(D19,'Steam Properties'!$A$5:'Steam Properties'!$F$129,1,TRUE))+VLOOKUP(D19,'Steam Properties'!$A$5:'Steam Properties'!$F$129,5,TRUE)</f>
        <v>970</v>
      </c>
      <c r="E21" s="178" t="s">
        <v>169</v>
      </c>
      <c r="F21" s="435" t="s">
        <v>203</v>
      </c>
      <c r="G21" s="435"/>
      <c r="H21" s="435"/>
      <c r="I21" s="269">
        <f ca="1">(OFFSET('Steam Properties'!$A$5,MATCH(D19,'Steam Properties'!$A$5:'Steam Properties'!$A$129,TRUE),1,1,1)-VLOOKUP(D19,'Steam Properties'!$A$5:'Steam Properties'!$F$129,6,TRUE))/(OFFSET('Steam Properties'!$A$5,MATCH(D19,'Steam Properties'!$A$5:'Steam Properties'!$A$129,TRUE),0,1,1)-VLOOKUP(D19,'Steam Properties'!$A$5:'Steam Properties'!$F$129,1,TRUE))*(D19-VLOOKUP(D19,'Steam Properties'!$A$5:'Steam Properties'!$F$129,1,TRUE))+VLOOKUP(D19,'Steam Properties'!$A$5:'Steam Properties'!$F$129,6,TRUE)</f>
        <v>1150</v>
      </c>
      <c r="J21" s="178" t="s">
        <v>169</v>
      </c>
    </row>
    <row r="22" spans="2:12" ht="15" customHeight="1">
      <c r="B22" s="188"/>
      <c r="C22" s="188"/>
      <c r="D22" s="191"/>
      <c r="E22" s="188"/>
      <c r="F22" s="188"/>
      <c r="G22" s="188"/>
      <c r="H22" s="188"/>
      <c r="I22" s="153"/>
      <c r="J22" s="188"/>
    </row>
    <row r="23" spans="2:12" ht="15" customHeight="1">
      <c r="B23" s="439" t="s">
        <v>206</v>
      </c>
      <c r="C23" s="439"/>
      <c r="D23" s="439"/>
      <c r="E23" s="439"/>
      <c r="F23" s="439"/>
      <c r="G23" s="439"/>
      <c r="H23" s="439"/>
      <c r="I23" s="439"/>
      <c r="J23" s="439"/>
    </row>
    <row r="24" spans="2:12" ht="15" customHeight="1">
      <c r="B24" s="263" t="s">
        <v>209</v>
      </c>
      <c r="C24" s="264"/>
      <c r="D24" s="265"/>
      <c r="E24" s="184" t="s">
        <v>84</v>
      </c>
      <c r="F24" s="442" t="s">
        <v>210</v>
      </c>
      <c r="G24" s="443"/>
      <c r="H24" s="444"/>
      <c r="I24" s="284">
        <f ca="1">(OFFSET('Steam Properties'!$A$5,MATCH(D24,'Steam Properties'!$A$5:'Steam Properties'!$A$129,TRUE),1,1,1)-VLOOKUP(D24,'Steam Properties'!$A$5:'Steam Properties'!$F$129,2,TRUE))/(OFFSET('Steam Properties'!$A$5,MATCH(D24,'Steam Properties'!$A$5:'Steam Properties'!$A$129,TRUE),0,1,1)-VLOOKUP(D24,'Steam Properties'!$A$5:'Steam Properties'!$F$129,1,TRUE))*(D24-VLOOKUP(D24,'Steam Properties'!$A$5:'Steam Properties'!$F$129,1,TRUE))+VLOOKUP(D24,'Steam Properties'!$A$5:'Steam Properties'!$F$129,2,TRUE)</f>
        <v>212</v>
      </c>
      <c r="J24" s="184" t="s">
        <v>83</v>
      </c>
      <c r="L24" s="284"/>
    </row>
    <row r="25" spans="2:12" ht="15" customHeight="1">
      <c r="B25" s="433" t="s">
        <v>204</v>
      </c>
      <c r="C25" s="433"/>
      <c r="D25" s="266">
        <f ca="1">(OFFSET('Steam Properties'!$A$5,MATCH(D24,'Steam Properties'!$A$5:'Steam Properties'!$A$129,TRUE),1,1,1)-VLOOKUP(D24,'Steam Properties'!$A$5:'Steam Properties'!$F$129,3,TRUE))/(OFFSET('Steam Properties'!$A$5,MATCH(D24,'Steam Properties'!$A$5:'Steam Properties'!$A$129,TRUE),0,1,1)-VLOOKUP(D24,'Steam Properties'!$A$5:'Steam Properties'!$F$129,1,TRUE))*(D24-VLOOKUP(D24,'Steam Properties'!$A$5:'Steam Properties'!$F$129,1,TRUE))+VLOOKUP(D24,'Steam Properties'!$A$5:'Steam Properties'!$F$129,3,TRUE)</f>
        <v>26.8</v>
      </c>
      <c r="E25" s="190" t="s">
        <v>205</v>
      </c>
      <c r="F25" s="433" t="s">
        <v>202</v>
      </c>
      <c r="G25" s="433"/>
      <c r="H25" s="433"/>
      <c r="I25" s="267">
        <f ca="1">(OFFSET('Steam Properties'!$A$5,MATCH(D24,'Steam Properties'!$A$5:'Steam Properties'!$A$129,TRUE),1,1,1)-VLOOKUP(D24,'Steam Properties'!$A$5:'Steam Properties'!$F$129,4,TRUE))/(OFFSET('Steam Properties'!$A$5,MATCH(D24,'Steam Properties'!$A$5:'Steam Properties'!$A$129,TRUE),0,1,1)-VLOOKUP(D24,'Steam Properties'!$A$5:'Steam Properties'!$F$129,1,TRUE))*(D24-VLOOKUP(D24,'Steam Properties'!$A$5:'Steam Properties'!$F$129,1,TRUE))+VLOOKUP(D24,'Steam Properties'!$A$5:'Steam Properties'!$F$129,4,TRUE)</f>
        <v>180</v>
      </c>
      <c r="J25" s="185" t="s">
        <v>169</v>
      </c>
    </row>
    <row r="26" spans="2:12" ht="15" customHeight="1">
      <c r="B26" s="435" t="s">
        <v>201</v>
      </c>
      <c r="C26" s="435"/>
      <c r="D26" s="268">
        <f ca="1">(OFFSET('Steam Properties'!$A$5,MATCH(D24,'Steam Properties'!$A$5:'Steam Properties'!$A$129,TRUE),1,1,1)-VLOOKUP(D24,'Steam Properties'!$A$5:'Steam Properties'!$F$129,5,TRUE))/(OFFSET('Steam Properties'!$A$5,MATCH(D24,'Steam Properties'!$A$5:'Steam Properties'!$A$129,TRUE),0,1,1)-VLOOKUP(D24,'Steam Properties'!$A$5:'Steam Properties'!$F$129,1,TRUE))*(D24-VLOOKUP(D24,'Steam Properties'!$A$5:'Steam Properties'!$F$129,1,TRUE))+VLOOKUP(D24,'Steam Properties'!$A$5:'Steam Properties'!$F$129,5,TRUE)</f>
        <v>970</v>
      </c>
      <c r="E26" s="178" t="s">
        <v>169</v>
      </c>
      <c r="F26" s="435" t="s">
        <v>203</v>
      </c>
      <c r="G26" s="435"/>
      <c r="H26" s="435"/>
      <c r="I26" s="268">
        <f ca="1">(OFFSET('Steam Properties'!$A$5,MATCH(D24,'Steam Properties'!$A$5:'Steam Properties'!$A$129,TRUE),1,1,1)-VLOOKUP(D24,'Steam Properties'!$A$5:'Steam Properties'!$F$129,6,TRUE))/(OFFSET('Steam Properties'!$A$5,MATCH(D24,'Steam Properties'!$A$5:'Steam Properties'!$A$129,TRUE),0,1,1)-VLOOKUP(D24,'Steam Properties'!$A$5:'Steam Properties'!$F$129,1,TRUE))*(D24-VLOOKUP(D24,'Steam Properties'!$A$5:'Steam Properties'!$F$129,1,TRUE))+VLOOKUP(D24,'Steam Properties'!$A$5:'Steam Properties'!$F$129,6,TRUE)</f>
        <v>1150</v>
      </c>
      <c r="J26" s="178" t="s">
        <v>169</v>
      </c>
    </row>
    <row r="27" spans="2:12" ht="15" customHeight="1">
      <c r="B27" s="188"/>
      <c r="C27" s="188"/>
      <c r="D27" s="191"/>
      <c r="E27" s="188"/>
      <c r="F27" s="188"/>
      <c r="G27" s="188"/>
      <c r="H27" s="188"/>
      <c r="I27" s="191"/>
      <c r="J27" s="188"/>
    </row>
    <row r="28" spans="2:12" ht="15" customHeight="1">
      <c r="B28" s="439" t="s">
        <v>211</v>
      </c>
      <c r="C28" s="439"/>
      <c r="D28" s="439"/>
      <c r="E28" s="439"/>
      <c r="F28" s="439"/>
      <c r="G28" s="439"/>
      <c r="H28" s="439"/>
      <c r="I28" s="439"/>
      <c r="J28" s="439"/>
    </row>
    <row r="29" spans="2:12" ht="15" customHeight="1">
      <c r="B29" s="442" t="s">
        <v>56</v>
      </c>
      <c r="C29" s="444"/>
      <c r="D29" s="440"/>
      <c r="E29" s="441"/>
      <c r="F29" s="442" t="s">
        <v>199</v>
      </c>
      <c r="G29" s="443"/>
      <c r="H29" s="444"/>
      <c r="I29" s="270"/>
      <c r="J29" s="184" t="s">
        <v>223</v>
      </c>
    </row>
    <row r="30" spans="2:12" ht="15" customHeight="1">
      <c r="B30" s="435" t="s">
        <v>212</v>
      </c>
      <c r="C30" s="435"/>
      <c r="D30" s="271" t="e">
        <f>VLOOKUP($D$29,'Fuel Properties'!$A$7:$L$13,2,FALSE)</f>
        <v>#N/A</v>
      </c>
      <c r="E30" s="192" t="s">
        <v>39</v>
      </c>
      <c r="F30" s="435" t="s">
        <v>213</v>
      </c>
      <c r="G30" s="435"/>
      <c r="H30" s="435"/>
      <c r="I30" s="271" t="e">
        <f>VLOOKUP($D$29,'Fuel Properties'!$A$7:$L$13,3,FALSE)</f>
        <v>#N/A</v>
      </c>
      <c r="J30" s="178" t="s">
        <v>38</v>
      </c>
    </row>
    <row r="31" spans="2:12" ht="15" customHeight="1">
      <c r="B31" s="445" t="s">
        <v>214</v>
      </c>
      <c r="C31" s="446"/>
      <c r="D31" s="271" t="e">
        <f>VLOOKUP($D$29,'Fuel Properties'!$A$7:$L$13,4,FALSE)</f>
        <v>#N/A</v>
      </c>
      <c r="E31" s="178" t="s">
        <v>37</v>
      </c>
      <c r="F31" s="435" t="s">
        <v>215</v>
      </c>
      <c r="G31" s="435"/>
      <c r="H31" s="435"/>
      <c r="I31" s="271" t="e">
        <f>VLOOKUP($D$29,'Fuel Properties'!$A$7:$L$13,5,FALSE)</f>
        <v>#N/A</v>
      </c>
      <c r="J31" s="178" t="s">
        <v>221</v>
      </c>
    </row>
    <row r="32" spans="2:12" ht="15" customHeight="1">
      <c r="B32" s="435" t="s">
        <v>216</v>
      </c>
      <c r="C32" s="435"/>
      <c r="D32" s="271" t="e">
        <f>VLOOKUP($D$29,'Fuel Properties'!$A$7:$L$13,6,FALSE)</f>
        <v>#N/A</v>
      </c>
      <c r="E32" s="192" t="s">
        <v>222</v>
      </c>
      <c r="F32" s="435" t="s">
        <v>217</v>
      </c>
      <c r="G32" s="435"/>
      <c r="H32" s="435"/>
      <c r="I32" s="271" t="e">
        <f>VLOOKUP($D$29,'Fuel Properties'!$A$7:$L$13,7,FALSE)</f>
        <v>#N/A</v>
      </c>
      <c r="J32" s="178"/>
    </row>
    <row r="33" spans="1:13" ht="15" customHeight="1">
      <c r="B33" s="435" t="s">
        <v>218</v>
      </c>
      <c r="C33" s="435"/>
      <c r="D33" s="271" t="e">
        <f>VLOOKUP($D$29,'Fuel Properties'!$A$7:$L$13,8,FALSE)</f>
        <v>#N/A</v>
      </c>
      <c r="E33" s="192"/>
      <c r="F33" s="435" t="s">
        <v>219</v>
      </c>
      <c r="G33" s="435"/>
      <c r="H33" s="435"/>
      <c r="I33" s="272" t="e">
        <f>VLOOKUP($D$29,'Fuel Properties'!$A$7:$L$13,9,FALSE)</f>
        <v>#N/A</v>
      </c>
      <c r="J33" s="178" t="s">
        <v>169</v>
      </c>
    </row>
    <row r="34" spans="1:13" ht="15" customHeight="1">
      <c r="B34" s="454" t="s">
        <v>220</v>
      </c>
      <c r="C34" s="455"/>
      <c r="D34" s="267" t="e">
        <f>VLOOKUP($D$29,'Fuel Properties'!$A$7:$L$13,10,FALSE)</f>
        <v>#N/A</v>
      </c>
      <c r="E34" s="185" t="s">
        <v>234</v>
      </c>
      <c r="F34" s="435" t="s">
        <v>235</v>
      </c>
      <c r="G34" s="435"/>
      <c r="H34" s="435"/>
      <c r="I34" s="271" t="e">
        <f>VLOOKUP($D$29,'Fuel Properties'!$A$7:$L$13,11,FALSE)</f>
        <v>#N/A</v>
      </c>
      <c r="J34" s="192" t="s">
        <v>222</v>
      </c>
    </row>
    <row r="35" spans="1:13" ht="15" customHeight="1">
      <c r="B35" s="435" t="s">
        <v>236</v>
      </c>
      <c r="C35" s="435"/>
      <c r="D35" s="271" t="e">
        <f>VLOOKUP($D$29,'Fuel Properties'!$A$7:$L$13,12,FALSE)</f>
        <v>#N/A</v>
      </c>
      <c r="E35" s="192" t="s">
        <v>222</v>
      </c>
      <c r="F35" s="273"/>
      <c r="G35" s="273"/>
      <c r="H35" s="273"/>
      <c r="I35" s="179"/>
      <c r="J35" s="273"/>
    </row>
    <row r="36" spans="1:13" ht="15" customHeight="1">
      <c r="B36" s="188"/>
      <c r="C36" s="188"/>
      <c r="D36" s="193"/>
      <c r="E36" s="188"/>
      <c r="F36" s="188"/>
      <c r="G36" s="188"/>
      <c r="H36" s="188"/>
      <c r="I36" s="191"/>
      <c r="J36" s="188"/>
    </row>
    <row r="37" spans="1:13" ht="15" customHeight="1">
      <c r="B37" s="439" t="s">
        <v>197</v>
      </c>
      <c r="C37" s="439"/>
      <c r="D37" s="439"/>
      <c r="E37" s="439"/>
      <c r="F37" s="439"/>
      <c r="G37" s="439"/>
      <c r="H37" s="439"/>
      <c r="I37" s="439"/>
      <c r="J37" s="439"/>
    </row>
    <row r="38" spans="1:13" ht="15" customHeight="1">
      <c r="B38" s="426" t="s">
        <v>175</v>
      </c>
      <c r="C38" s="426"/>
      <c r="D38" s="274">
        <f ca="1">(D15*I15*I21)/(D16*(I19+460))</f>
        <v>0</v>
      </c>
      <c r="E38" s="194"/>
      <c r="F38" s="426" t="s">
        <v>172</v>
      </c>
      <c r="G38" s="426"/>
      <c r="H38" s="426"/>
      <c r="I38" s="275" t="e">
        <f ca="1">D38/(F49*I6)/(I7/F49-1)*0.00006</f>
        <v>#DIV/0!</v>
      </c>
      <c r="J38" s="194" t="s">
        <v>164</v>
      </c>
    </row>
    <row r="39" spans="1:13" ht="15" customHeight="1">
      <c r="B39" s="435" t="s">
        <v>173</v>
      </c>
      <c r="C39" s="435"/>
      <c r="D39" s="276" t="e">
        <f ca="1">D38/(F49*I6)/(1-F49/I7)*0.00006</f>
        <v>#DIV/0!</v>
      </c>
      <c r="E39" s="175" t="s">
        <v>164</v>
      </c>
      <c r="F39" s="435" t="s">
        <v>174</v>
      </c>
      <c r="G39" s="435"/>
      <c r="H39" s="435"/>
      <c r="I39" s="277" t="e">
        <f ca="1">D38/(F49*I6)*0.00006</f>
        <v>#DIV/0!</v>
      </c>
      <c r="J39" s="175" t="s">
        <v>164</v>
      </c>
    </row>
    <row r="40" spans="1:13" ht="15" customHeight="1">
      <c r="B40" s="188"/>
      <c r="C40" s="188"/>
      <c r="D40" s="154"/>
      <c r="E40" s="182"/>
      <c r="F40" s="188"/>
      <c r="G40" s="188"/>
      <c r="H40" s="188"/>
      <c r="I40" s="155"/>
      <c r="J40" s="182"/>
    </row>
    <row r="41" spans="1:13" ht="15" customHeight="1">
      <c r="B41" s="188"/>
      <c r="C41" s="188"/>
      <c r="D41" s="154"/>
      <c r="E41" s="182"/>
      <c r="F41" s="188"/>
      <c r="G41" s="188"/>
      <c r="H41" s="188"/>
      <c r="I41" s="155"/>
      <c r="J41" s="182"/>
    </row>
    <row r="42" spans="1:13" ht="15" customHeight="1">
      <c r="B42" s="188"/>
      <c r="C42" s="188"/>
      <c r="D42" s="154"/>
      <c r="E42" s="182"/>
      <c r="F42" s="188"/>
      <c r="G42" s="188"/>
      <c r="H42" s="188"/>
      <c r="I42" s="155"/>
      <c r="J42" s="182"/>
    </row>
    <row r="43" spans="1:13" ht="30" customHeight="1">
      <c r="A43" s="425" t="s">
        <v>124</v>
      </c>
      <c r="B43" s="425"/>
      <c r="C43" s="425"/>
      <c r="D43" s="425"/>
      <c r="E43" s="425"/>
      <c r="F43" s="425"/>
      <c r="G43" s="425"/>
      <c r="H43" s="425"/>
      <c r="I43" s="425"/>
      <c r="J43" s="425"/>
      <c r="K43" s="425"/>
    </row>
    <row r="44" spans="1:13" ht="15" customHeight="1"/>
    <row r="45" spans="1:13" ht="15" customHeight="1">
      <c r="B45" s="439" t="s">
        <v>57</v>
      </c>
      <c r="C45" s="439"/>
      <c r="D45" s="439"/>
      <c r="E45" s="439"/>
      <c r="F45" s="439"/>
      <c r="G45" s="439"/>
      <c r="H45" s="439"/>
      <c r="I45" s="439"/>
      <c r="J45" s="439"/>
    </row>
    <row r="46" spans="1:13" ht="15" customHeight="1">
      <c r="B46" s="452"/>
      <c r="C46" s="449" t="s">
        <v>100</v>
      </c>
      <c r="D46" s="450"/>
      <c r="E46" s="450"/>
      <c r="F46" s="451"/>
      <c r="G46" s="449" t="s">
        <v>82</v>
      </c>
      <c r="H46" s="450"/>
      <c r="I46" s="450"/>
      <c r="J46" s="451"/>
      <c r="M46" s="195"/>
    </row>
    <row r="47" spans="1:13" ht="15" customHeight="1">
      <c r="B47" s="453"/>
      <c r="C47" s="196" t="s">
        <v>51</v>
      </c>
      <c r="D47" s="197" t="s">
        <v>81</v>
      </c>
      <c r="E47" s="196" t="s">
        <v>50</v>
      </c>
      <c r="F47" s="197" t="s">
        <v>80</v>
      </c>
      <c r="G47" s="196" t="s">
        <v>51</v>
      </c>
      <c r="H47" s="197" t="s">
        <v>81</v>
      </c>
      <c r="I47" s="196" t="s">
        <v>50</v>
      </c>
      <c r="J47" s="197" t="s">
        <v>80</v>
      </c>
    </row>
    <row r="48" spans="1:13" ht="15" customHeight="1">
      <c r="B48" s="198" t="s">
        <v>79</v>
      </c>
      <c r="C48" s="199"/>
      <c r="D48" s="199"/>
      <c r="E48" s="199"/>
      <c r="F48" s="199"/>
      <c r="G48" s="199"/>
      <c r="H48" s="199"/>
      <c r="I48" s="199"/>
      <c r="J48" s="200"/>
    </row>
    <row r="49" spans="2:10" ht="15" customHeight="1">
      <c r="B49" s="201" t="s">
        <v>78</v>
      </c>
      <c r="C49" s="156">
        <v>1</v>
      </c>
      <c r="D49" s="157">
        <v>0.7</v>
      </c>
      <c r="E49" s="157">
        <v>0.4</v>
      </c>
      <c r="F49" s="158">
        <v>0.1</v>
      </c>
      <c r="G49" s="118">
        <f>C49</f>
        <v>1</v>
      </c>
      <c r="H49" s="119">
        <f>D49</f>
        <v>0.7</v>
      </c>
      <c r="I49" s="119">
        <f>E49</f>
        <v>0.4</v>
      </c>
      <c r="J49" s="120">
        <f>F49</f>
        <v>0.1</v>
      </c>
    </row>
    <row r="50" spans="2:10" ht="15" customHeight="1">
      <c r="B50" s="202" t="s">
        <v>237</v>
      </c>
      <c r="C50" s="63" t="str">
        <f>IF(C51=0,"-",C49*$I$6)</f>
        <v>-</v>
      </c>
      <c r="D50" s="64" t="str">
        <f>IF(D51=0,"-",D49*$I$6)</f>
        <v>-</v>
      </c>
      <c r="E50" s="64" t="str">
        <f>IF(E51=0,"-",E49*$I$6)</f>
        <v>-</v>
      </c>
      <c r="F50" s="65" t="str">
        <f>IF(F51=0,"-",F49*$I$6)</f>
        <v>-</v>
      </c>
      <c r="G50" s="63" t="str">
        <f>IF(G51=0,"-",IF(ISERROR(G72)=TRUE,C50,C50*C72/G72))</f>
        <v>-</v>
      </c>
      <c r="H50" s="64" t="str">
        <f>IF(H51=0,"-",IF(ISERROR(H72)=TRUE,D50,D50*D72/H72))</f>
        <v>-</v>
      </c>
      <c r="I50" s="64" t="str">
        <f>IF(I51=0,"-",IF(ISERROR(I72)=TRUE,E50,E50*E72/I72))</f>
        <v>-</v>
      </c>
      <c r="J50" s="65" t="str">
        <f>IF(J51=0,"-",IF(ISERROR(J72)=TRUE,F50,F50*F72/J72))</f>
        <v>-</v>
      </c>
    </row>
    <row r="51" spans="2:10" ht="15" customHeight="1">
      <c r="B51" s="201" t="s">
        <v>77</v>
      </c>
      <c r="C51" s="159">
        <v>0</v>
      </c>
      <c r="D51" s="160">
        <v>0</v>
      </c>
      <c r="E51" s="160">
        <v>0</v>
      </c>
      <c r="F51" s="161">
        <v>0</v>
      </c>
      <c r="G51" s="121">
        <f>C51</f>
        <v>0</v>
      </c>
      <c r="H51" s="122">
        <f>D51</f>
        <v>0</v>
      </c>
      <c r="I51" s="122">
        <f>E51</f>
        <v>0</v>
      </c>
      <c r="J51" s="123">
        <f>F51</f>
        <v>0</v>
      </c>
    </row>
    <row r="52" spans="2:10" ht="15" customHeight="1">
      <c r="B52" s="203" t="s">
        <v>238</v>
      </c>
      <c r="C52" s="37" t="str">
        <f>IF(C51=0,"-",C51*C50)</f>
        <v>-</v>
      </c>
      <c r="D52" s="38" t="str">
        <f>IF(D51=0,"-",D51*D50)</f>
        <v>-</v>
      </c>
      <c r="E52" s="38" t="str">
        <f>IF(E51=0,"-",E51*E50)</f>
        <v>-</v>
      </c>
      <c r="F52" s="39" t="str">
        <f>IF(F51=0,"-",F51*F50)</f>
        <v>-</v>
      </c>
      <c r="G52" s="37" t="str">
        <f>IF(G51=0,"-",C52*C72/G72)</f>
        <v>-</v>
      </c>
      <c r="H52" s="38" t="str">
        <f>IF(H51=0,"-",D52*D72/H72)</f>
        <v>-</v>
      </c>
      <c r="I52" s="38" t="str">
        <f>IF(I51=0,"-",E52*E72/I72)</f>
        <v>-</v>
      </c>
      <c r="J52" s="39" t="str">
        <f>IF(J51=0,"-",F52*F72/J72)</f>
        <v>-</v>
      </c>
    </row>
    <row r="53" spans="2:10" ht="15" customHeight="1">
      <c r="B53" s="204" t="s">
        <v>76</v>
      </c>
      <c r="C53" s="132"/>
      <c r="D53" s="132"/>
      <c r="E53" s="132"/>
      <c r="F53" s="132"/>
      <c r="G53" s="132"/>
      <c r="H53" s="132"/>
      <c r="I53" s="132"/>
      <c r="J53" s="133"/>
    </row>
    <row r="54" spans="2:10" ht="15" customHeight="1">
      <c r="B54" s="201" t="s">
        <v>75</v>
      </c>
      <c r="C54" s="162" t="s">
        <v>71</v>
      </c>
      <c r="D54" s="163" t="s">
        <v>71</v>
      </c>
      <c r="E54" s="163" t="s">
        <v>71</v>
      </c>
      <c r="F54" s="164" t="s">
        <v>71</v>
      </c>
      <c r="G54" s="124" t="str">
        <f>IF(C51=0,"-",MIN(I34,C54))</f>
        <v>-</v>
      </c>
      <c r="H54" s="125" t="str">
        <f>IF(D51=0,"-",MIN(I34,D54))</f>
        <v>-</v>
      </c>
      <c r="I54" s="125" t="str">
        <f>IF(E51=0,"-",MIN(D35,E54))</f>
        <v>-</v>
      </c>
      <c r="J54" s="126" t="str">
        <f>IF(F51=0,"-",MIN(D35,F54))</f>
        <v>-</v>
      </c>
    </row>
    <row r="55" spans="2:10" ht="15" customHeight="1">
      <c r="B55" s="202" t="s">
        <v>74</v>
      </c>
      <c r="C55" s="165" t="s">
        <v>71</v>
      </c>
      <c r="D55" s="166" t="s">
        <v>71</v>
      </c>
      <c r="E55" s="166" t="s">
        <v>71</v>
      </c>
      <c r="F55" s="167" t="s">
        <v>71</v>
      </c>
      <c r="G55" s="52" t="str">
        <f>IF(G51=0,"-",(1-G54)*($D$30*$D$34/12.01)/(($D$30*$D$34/12.01)+($I$30*$D$34/32)+((((($D$30*$D$34/12.01)+2*($I$30*$D$34/32))/(1-G54)+0.25*($D$31*$D$34/1.008)-($D$32*$D$34/32)+($I$31*$D$34/28.016)/3.76)/(1/3.76-G54/(1-G54))))))</f>
        <v>-</v>
      </c>
      <c r="H55" s="53" t="str">
        <f>IF(H51=0,"-",(1-H54)*($D$30*$D$34/12.01)/(($D$30*$D$34/12.01)+($I$30*$D$34/32)+((((($D$30*$D$34/12.01)+2*($I$30*$D$34/32))/(1-H54)+0.25*($D$31*$D$34/1.008)-($D$32*$D$34/32)+($I$31*$D$34/28.016)/3.76)/(1/3.76-H54/(1-H54))))))</f>
        <v>-</v>
      </c>
      <c r="I55" s="53" t="str">
        <f>IF(I51=0,"-",(1-I54)*($D$30*$D$34/12.01)/(($D$30*$D$34/12.01)+($I$30*$D$34/32)+((((($D$30*$D$34/12.01)+2*($I$30*$D$34/32))/(1-I54)+0.25*($D$31*$D$34/1.008)-($D$32*$D$34/32)+($I$31*$D$34/28.016)/3.76)/(1/3.76-I54/(1-I54))))))</f>
        <v>-</v>
      </c>
      <c r="J55" s="54" t="str">
        <f>IF(J51=0,"-",(1-J54)*($D$30*$D$34/12.01)/(($D$30*$D$34/12.01)+($I$30*$D$34/32)+((((($D$30*$D$34/12.01)+2*($I$30*$D$34/32))/(1-J54)+0.25*($D$31*$D$34/1.008)-($D$32*$D$34/32)+($I$31*$D$34/28.016)/3.76)/(1/3.76-J54/(1-J54))))))</f>
        <v>-</v>
      </c>
    </row>
    <row r="56" spans="2:10" ht="15" customHeight="1">
      <c r="B56" s="201" t="s">
        <v>73</v>
      </c>
      <c r="C56" s="168" t="s">
        <v>71</v>
      </c>
      <c r="D56" s="169" t="s">
        <v>71</v>
      </c>
      <c r="E56" s="169" t="s">
        <v>71</v>
      </c>
      <c r="F56" s="170" t="s">
        <v>71</v>
      </c>
      <c r="G56" s="383" t="str">
        <f>IF(G51=0,"-",C56)</f>
        <v>-</v>
      </c>
      <c r="H56" s="384" t="str">
        <f>IF(H51=0,"-",D56)</f>
        <v>-</v>
      </c>
      <c r="I56" s="384" t="str">
        <f>IF(I51=0,"-",E56)</f>
        <v>-</v>
      </c>
      <c r="J56" s="385" t="str">
        <f>IF(J51=0,"-",F56)</f>
        <v>-</v>
      </c>
    </row>
    <row r="57" spans="2:10" ht="15" customHeight="1">
      <c r="B57" s="202" t="s">
        <v>72</v>
      </c>
      <c r="C57" s="171" t="s">
        <v>71</v>
      </c>
      <c r="D57" s="172" t="s">
        <v>71</v>
      </c>
      <c r="E57" s="172" t="s">
        <v>71</v>
      </c>
      <c r="F57" s="173" t="s">
        <v>71</v>
      </c>
      <c r="G57" s="55" t="str">
        <f>IF(G51=0,"-",MIN(C57,$I$19+100))</f>
        <v>-</v>
      </c>
      <c r="H57" s="56" t="str">
        <f>IF(H51=0,"-",MIN(D57,$I$19+100))</f>
        <v>-</v>
      </c>
      <c r="I57" s="56" t="str">
        <f>IF(I51=0,"-",MIN(E57,$I$19+100))</f>
        <v>-</v>
      </c>
      <c r="J57" s="57" t="str">
        <f>IF(J51=0,"-",MIN(F57,$I$19+100))</f>
        <v>-</v>
      </c>
    </row>
    <row r="58" spans="2:10" ht="15" customHeight="1">
      <c r="B58" s="201" t="s">
        <v>70</v>
      </c>
      <c r="C58" s="127" t="str">
        <f t="shared" ref="C58:J58" si="0">IF(C51=0,"-",C57-$D$10)</f>
        <v>-</v>
      </c>
      <c r="D58" s="58" t="str">
        <f t="shared" si="0"/>
        <v>-</v>
      </c>
      <c r="E58" s="58" t="str">
        <f t="shared" si="0"/>
        <v>-</v>
      </c>
      <c r="F58" s="128" t="str">
        <f t="shared" si="0"/>
        <v>-</v>
      </c>
      <c r="G58" s="127" t="str">
        <f t="shared" si="0"/>
        <v>-</v>
      </c>
      <c r="H58" s="58" t="str">
        <f t="shared" si="0"/>
        <v>-</v>
      </c>
      <c r="I58" s="58" t="str">
        <f t="shared" si="0"/>
        <v>-</v>
      </c>
      <c r="J58" s="128" t="str">
        <f t="shared" si="0"/>
        <v>-</v>
      </c>
    </row>
    <row r="59" spans="2:10" ht="15" customHeight="1">
      <c r="B59" s="198" t="s">
        <v>69</v>
      </c>
      <c r="C59" s="134"/>
      <c r="D59" s="134"/>
      <c r="E59" s="134"/>
      <c r="F59" s="134"/>
      <c r="G59" s="134"/>
      <c r="H59" s="134"/>
      <c r="I59" s="134"/>
      <c r="J59" s="135"/>
    </row>
    <row r="60" spans="2:10" ht="15" customHeight="1">
      <c r="B60" s="25" t="s">
        <v>68</v>
      </c>
      <c r="C60" s="40" t="str">
        <f>IF(C51=0,"-",C50/$I$33*1000000/60/(1-$D$33))</f>
        <v>-</v>
      </c>
      <c r="D60" s="41" t="str">
        <f t="shared" ref="D60:J60" si="1">IF(D51=0,"-",D50/$I$33*1000000/60/(1-$D$33))</f>
        <v>-</v>
      </c>
      <c r="E60" s="41" t="str">
        <f>IF(E51=0,"-",E50/$I$33*1000000/60/(1-$D$33))</f>
        <v>-</v>
      </c>
      <c r="F60" s="42" t="str">
        <f t="shared" si="1"/>
        <v>-</v>
      </c>
      <c r="G60" s="40" t="str">
        <f t="shared" si="1"/>
        <v>-</v>
      </c>
      <c r="H60" s="41" t="str">
        <f>IF(H51=0,"-",H50/$I$33*1000000/60/(1-$D$33))</f>
        <v>-</v>
      </c>
      <c r="I60" s="41" t="str">
        <f t="shared" si="1"/>
        <v>-</v>
      </c>
      <c r="J60" s="42" t="str">
        <f t="shared" si="1"/>
        <v>-</v>
      </c>
    </row>
    <row r="61" spans="2:10" ht="15" customHeight="1">
      <c r="B61" s="203" t="s">
        <v>67</v>
      </c>
      <c r="C61" s="43" t="str">
        <f>IF(C51=0,"-",C60*4.76*28.96/$D$34*((1-C54)*(($D$30*$D$34/12.01)-($D$32*$D$34/32)+0.25*($D$31*$D$34/1.008))+C54*(($D$30*$D$34/12.01)+2*($I$30*$D$34/64)))/(1-2.76*C54))</f>
        <v>-</v>
      </c>
      <c r="D61" s="44" t="str">
        <f t="shared" ref="D61:I61" si="2">IF(D51=0,"-",D60*4.76*28.96/$D$34*((1-D54)*(($D$30*$D$34/12.01)-($D$32*$D$34/32)+0.25*($D$31*$D$34/1.008))+D54*(($D$30*$D$34/12.01)+2*($I$30*$D$34/64)))/(1-2.76*D54))</f>
        <v>-</v>
      </c>
      <c r="E61" s="44" t="str">
        <f t="shared" si="2"/>
        <v>-</v>
      </c>
      <c r="F61" s="45" t="str">
        <f t="shared" si="2"/>
        <v>-</v>
      </c>
      <c r="G61" s="43" t="str">
        <f>IF(G51=0,"-",G60*4.76*28.96/$D$34*((1-G54)*(($D$30*$D$34/12.01)-($D$32*$D$34/32)+0.25*($D$31*$D$34/1.008))+G54*(($D$30*$D$34/12.01)+2*($I$30*$D$34/64)))/(1-2.76*G54))</f>
        <v>-</v>
      </c>
      <c r="H61" s="44" t="str">
        <f t="shared" si="2"/>
        <v>-</v>
      </c>
      <c r="I61" s="44" t="str">
        <f t="shared" si="2"/>
        <v>-</v>
      </c>
      <c r="J61" s="45" t="str">
        <f>IF(J51=0,"-",J60*4.76*28.96/$D$34*((1-J54)*(($D$30*$D$34/12.01)-($D$32*$D$34/32)+0.25*($D$31*$D$34/1.008))+J54*(($D$30*$D$34/12.01)+2*($I$30*$D$34/64)))/(1-2.76*J54))</f>
        <v>-</v>
      </c>
    </row>
    <row r="62" spans="2:10" ht="15" customHeight="1">
      <c r="B62" s="198" t="s">
        <v>66</v>
      </c>
      <c r="C62" s="136"/>
      <c r="D62" s="136"/>
      <c r="E62" s="136"/>
      <c r="F62" s="136"/>
      <c r="G62" s="136"/>
      <c r="H62" s="136"/>
      <c r="I62" s="136"/>
      <c r="J62" s="137"/>
    </row>
    <row r="63" spans="2:10" ht="15" customHeight="1">
      <c r="B63" s="201" t="s">
        <v>65</v>
      </c>
      <c r="C63" s="129" t="str">
        <f>IF(C51=0,"-",(44.01*C55+32*C54+28.02*(1-C55-C54-C56*0.000001)+28.01*0.000001*C56)/(12.01*(C56*0.000001+C55))*($D$30+$I$30*12.01/32.07)*0.24*C58/$I$33)</f>
        <v>-</v>
      </c>
      <c r="D63" s="130" t="str">
        <f t="shared" ref="D63:J63" si="3">IF(D51=0,"-",(44.01*D55+32*D54+28.02*(1-D55-D54-D56*0.000001)+28.01*0.000001*D56)/(12.01*(D56*0.000001+D55))*($D$30+$I$30*12.01/32.07)*0.24*D58/$I$33)</f>
        <v>-</v>
      </c>
      <c r="E63" s="130" t="str">
        <f t="shared" si="3"/>
        <v>-</v>
      </c>
      <c r="F63" s="131" t="str">
        <f t="shared" si="3"/>
        <v>-</v>
      </c>
      <c r="G63" s="129" t="str">
        <f t="shared" si="3"/>
        <v>-</v>
      </c>
      <c r="H63" s="130" t="str">
        <f t="shared" si="3"/>
        <v>-</v>
      </c>
      <c r="I63" s="130" t="str">
        <f>IF(I51=0,"-",(44.01*I55+32*I54+28.02*(1-I55-I54-I56*0.000001)+28.01*0.000001*I56)/(12.01*(I56*0.000001+I55))*($D$30+$I$30*12.01/32.07)*0.24*I58/$I$33)</f>
        <v>-</v>
      </c>
      <c r="J63" s="131" t="str">
        <f t="shared" si="3"/>
        <v>-</v>
      </c>
    </row>
    <row r="64" spans="2:10" ht="15" customHeight="1">
      <c r="B64" s="202" t="s">
        <v>64</v>
      </c>
      <c r="C64" s="46" t="str">
        <f>IF(C51=0,"-",8.936*(0.445*C57+1060.7-($D$10-32))*$D$31/$I$33)</f>
        <v>-</v>
      </c>
      <c r="D64" s="47" t="str">
        <f t="shared" ref="D64:J64" si="4">IF(D51=0,"-",8.936*(0.445*D57+1060.7-($D$10-32))*$D$31/$I$33)</f>
        <v>-</v>
      </c>
      <c r="E64" s="47" t="str">
        <f t="shared" si="4"/>
        <v>-</v>
      </c>
      <c r="F64" s="48" t="str">
        <f t="shared" si="4"/>
        <v>-</v>
      </c>
      <c r="G64" s="46" t="str">
        <f t="shared" si="4"/>
        <v>-</v>
      </c>
      <c r="H64" s="47" t="str">
        <f t="shared" si="4"/>
        <v>-</v>
      </c>
      <c r="I64" s="47" t="str">
        <f>IF(I51=0,"-",8.936*(0.445*I57+1060.7-($D$10-32))*$D$31/$I$33)</f>
        <v>-</v>
      </c>
      <c r="J64" s="48" t="str">
        <f t="shared" si="4"/>
        <v>-</v>
      </c>
    </row>
    <row r="65" spans="2:10" ht="15" customHeight="1">
      <c r="B65" s="201" t="s">
        <v>63</v>
      </c>
      <c r="C65" s="129" t="str">
        <f>IF(C51=0,"-",IF($D$33=0,0,($D$33*(0.445*C57+1060.7-($D$10-32)))/$I$33))</f>
        <v>-</v>
      </c>
      <c r="D65" s="130" t="str">
        <f t="shared" ref="D65:J65" si="5">IF(D51=0,"-",IF($D$33=0,0,($D$33*(0.445*D57+1060.7-($D$10-32)))/$I$33))</f>
        <v>-</v>
      </c>
      <c r="E65" s="130" t="str">
        <f t="shared" si="5"/>
        <v>-</v>
      </c>
      <c r="F65" s="131" t="str">
        <f t="shared" si="5"/>
        <v>-</v>
      </c>
      <c r="G65" s="129" t="str">
        <f t="shared" si="5"/>
        <v>-</v>
      </c>
      <c r="H65" s="130" t="str">
        <f t="shared" si="5"/>
        <v>-</v>
      </c>
      <c r="I65" s="130" t="str">
        <f>IF(I51=0,"-",IF($D$33=0,0,($D$33*(0.445*I57+1060.7-($D$10-32)))/$I$33))</f>
        <v>-</v>
      </c>
      <c r="J65" s="131" t="str">
        <f t="shared" si="5"/>
        <v>-</v>
      </c>
    </row>
    <row r="66" spans="2:10" ht="15" customHeight="1">
      <c r="B66" s="202" t="s">
        <v>62</v>
      </c>
      <c r="C66" s="46" t="str">
        <f>IF(C51=0,"-",C56*0.000001/(C56*0.000001+C55)*10160*$D$30/$I$33)</f>
        <v>-</v>
      </c>
      <c r="D66" s="47" t="str">
        <f t="shared" ref="D66:J66" si="6">IF(D51=0,"-",D56*0.000001/(D56*0.000001+D55)*10160*$D$30/$I$33)</f>
        <v>-</v>
      </c>
      <c r="E66" s="47" t="str">
        <f t="shared" si="6"/>
        <v>-</v>
      </c>
      <c r="F66" s="48" t="str">
        <f t="shared" si="6"/>
        <v>-</v>
      </c>
      <c r="G66" s="46" t="str">
        <f t="shared" si="6"/>
        <v>-</v>
      </c>
      <c r="H66" s="47" t="str">
        <f t="shared" si="6"/>
        <v>-</v>
      </c>
      <c r="I66" s="47" t="str">
        <f t="shared" si="6"/>
        <v>-</v>
      </c>
      <c r="J66" s="48" t="str">
        <f t="shared" si="6"/>
        <v>-</v>
      </c>
    </row>
    <row r="67" spans="2:10" ht="15" customHeight="1">
      <c r="B67" s="201" t="s">
        <v>61</v>
      </c>
      <c r="C67" s="129" t="str">
        <f>IF(C51=0,"-",$I$32)</f>
        <v>-</v>
      </c>
      <c r="D67" s="130" t="str">
        <f t="shared" ref="D67:J67" si="7">IF(D51=0,"-",$I$32)</f>
        <v>-</v>
      </c>
      <c r="E67" s="130" t="str">
        <f t="shared" si="7"/>
        <v>-</v>
      </c>
      <c r="F67" s="131" t="str">
        <f t="shared" si="7"/>
        <v>-</v>
      </c>
      <c r="G67" s="129" t="str">
        <f t="shared" si="7"/>
        <v>-</v>
      </c>
      <c r="H67" s="130" t="str">
        <f t="shared" si="7"/>
        <v>-</v>
      </c>
      <c r="I67" s="130" t="str">
        <f t="shared" si="7"/>
        <v>-</v>
      </c>
      <c r="J67" s="131" t="str">
        <f t="shared" si="7"/>
        <v>-</v>
      </c>
    </row>
    <row r="68" spans="2:10" ht="15" customHeight="1">
      <c r="B68" s="202" t="s">
        <v>60</v>
      </c>
      <c r="C68" s="46" t="str">
        <f>IF(C51=0,"-",(0.445*C57+1060.7-($D$10-32))*$D$12*(C61/C60)/$I$33)</f>
        <v>-</v>
      </c>
      <c r="D68" s="47" t="str">
        <f t="shared" ref="D68:J68" si="8">IF(D51=0,"-",(0.445*D57+1060.7-($D$10-32))*$D$12*(D61/D60)/$I$33)</f>
        <v>-</v>
      </c>
      <c r="E68" s="47" t="str">
        <f t="shared" si="8"/>
        <v>-</v>
      </c>
      <c r="F68" s="48" t="str">
        <f t="shared" si="8"/>
        <v>-</v>
      </c>
      <c r="G68" s="46" t="str">
        <f t="shared" si="8"/>
        <v>-</v>
      </c>
      <c r="H68" s="47" t="str">
        <f t="shared" si="8"/>
        <v>-</v>
      </c>
      <c r="I68" s="47" t="str">
        <f t="shared" si="8"/>
        <v>-</v>
      </c>
      <c r="J68" s="48" t="str">
        <f t="shared" si="8"/>
        <v>-</v>
      </c>
    </row>
    <row r="69" spans="2:10" ht="15" customHeight="1">
      <c r="B69" s="201" t="s">
        <v>59</v>
      </c>
      <c r="C69" s="129" t="str">
        <f t="shared" ref="C69:I69" si="9">IF(C51=0,"-",1-C63-C64-C65-C66-C67-C68)</f>
        <v>-</v>
      </c>
      <c r="D69" s="130" t="str">
        <f t="shared" si="9"/>
        <v>-</v>
      </c>
      <c r="E69" s="130" t="str">
        <f t="shared" si="9"/>
        <v>-</v>
      </c>
      <c r="F69" s="131" t="str">
        <f t="shared" si="9"/>
        <v>-</v>
      </c>
      <c r="G69" s="129" t="str">
        <f>IF(G51=0,"-",1-G63-G64-G65-G66-G67-G68)</f>
        <v>-</v>
      </c>
      <c r="H69" s="130" t="str">
        <f t="shared" si="9"/>
        <v>-</v>
      </c>
      <c r="I69" s="130" t="str">
        <f t="shared" si="9"/>
        <v>-</v>
      </c>
      <c r="J69" s="131" t="str">
        <f>IF(J51=0,"-",1-J63-J64-J65-J66-J67-J68)</f>
        <v>-</v>
      </c>
    </row>
    <row r="70" spans="2:10" ht="15" customHeight="1">
      <c r="B70" s="202" t="s">
        <v>98</v>
      </c>
      <c r="C70" s="46" t="str">
        <f t="shared" ref="C70:J70" si="10">IF(C51=0,"-",(0.359+18.2842/$I$6-7.1088/$I$6^2)/100/C49)</f>
        <v>-</v>
      </c>
      <c r="D70" s="47" t="str">
        <f t="shared" si="10"/>
        <v>-</v>
      </c>
      <c r="E70" s="47" t="str">
        <f t="shared" si="10"/>
        <v>-</v>
      </c>
      <c r="F70" s="48" t="str">
        <f t="shared" si="10"/>
        <v>-</v>
      </c>
      <c r="G70" s="46" t="str">
        <f t="shared" si="10"/>
        <v>-</v>
      </c>
      <c r="H70" s="47" t="str">
        <f t="shared" si="10"/>
        <v>-</v>
      </c>
      <c r="I70" s="47" t="str">
        <f t="shared" si="10"/>
        <v>-</v>
      </c>
      <c r="J70" s="48" t="str">
        <f t="shared" si="10"/>
        <v>-</v>
      </c>
    </row>
    <row r="71" spans="2:10" ht="15" customHeight="1">
      <c r="B71" s="201" t="s">
        <v>58</v>
      </c>
      <c r="C71" s="129" t="s">
        <v>71</v>
      </c>
      <c r="D71" s="130" t="s">
        <v>71</v>
      </c>
      <c r="E71" s="130" t="s">
        <v>71</v>
      </c>
      <c r="F71" s="131" t="str">
        <f>IF(F51=0,"-",D61*0.252*D11*(I19-D10)*2*D7/D6*(F49&lt;I7)/(1000000*F50))</f>
        <v>-</v>
      </c>
      <c r="G71" s="129" t="s">
        <v>71</v>
      </c>
      <c r="H71" s="130" t="s">
        <v>71</v>
      </c>
      <c r="I71" s="130" t="s">
        <v>71</v>
      </c>
      <c r="J71" s="131" t="str">
        <f>IF(J51=0,"-",H61*0.252*D11*(I19-D10)*2*D7/D6*(J49&lt;I7)/(1000000*J50))</f>
        <v>-</v>
      </c>
    </row>
    <row r="72" spans="2:10" ht="15" customHeight="1">
      <c r="B72" s="205" t="s">
        <v>57</v>
      </c>
      <c r="C72" s="49" t="str">
        <f>IF(C51=0,"-",IF(C69-C70&lt;0,0,C69-C70))</f>
        <v>-</v>
      </c>
      <c r="D72" s="50" t="str">
        <f>IF(D51=0,"-",IF(D69-D70&lt;0,0,D69-D70))</f>
        <v>-</v>
      </c>
      <c r="E72" s="50" t="str">
        <f>IF(E51=0,"-",IF(E69-E70&lt;0,0,E69-E70))</f>
        <v>-</v>
      </c>
      <c r="F72" s="51" t="str">
        <f>IF(F51=0,"-",IF(F69-F70-F71&lt;0,0,F69-F70-F71))</f>
        <v>-</v>
      </c>
      <c r="G72" s="49" t="str">
        <f>IF(G51=0,"-",IF(G69-G70&lt;0,0,G69-G70))</f>
        <v>-</v>
      </c>
      <c r="H72" s="50" t="str">
        <f>IF(H51=0,"-",IF(H69-H70&lt;0,0,H69-H70))</f>
        <v>-</v>
      </c>
      <c r="I72" s="50" t="str">
        <f>IF(I51=0,"-",IF(I69-I70&lt;0,0,I69-I70))</f>
        <v>-</v>
      </c>
      <c r="J72" s="51" t="str">
        <f>IF(J51=0,"-",IF(J69-J70-J71&lt;0,0,J69-J70-J71))</f>
        <v>-</v>
      </c>
    </row>
    <row r="75" spans="2:10">
      <c r="B75" s="278" t="s">
        <v>142</v>
      </c>
    </row>
    <row r="77" spans="2:10">
      <c r="B77" s="447" t="s">
        <v>227</v>
      </c>
      <c r="C77" s="447"/>
      <c r="D77" s="447"/>
      <c r="E77" s="447"/>
      <c r="F77" s="447"/>
      <c r="G77" s="447"/>
      <c r="H77" s="447"/>
      <c r="I77" s="447"/>
      <c r="J77" s="447"/>
    </row>
    <row r="78" spans="2:10">
      <c r="B78" s="447"/>
      <c r="C78" s="447"/>
      <c r="D78" s="447"/>
      <c r="E78" s="447"/>
      <c r="F78" s="447"/>
      <c r="G78" s="447"/>
      <c r="H78" s="447"/>
      <c r="I78" s="447"/>
      <c r="J78" s="447"/>
    </row>
    <row r="79" spans="2:10">
      <c r="B79" s="447"/>
      <c r="C79" s="447"/>
      <c r="D79" s="447"/>
      <c r="E79" s="447"/>
      <c r="F79" s="447"/>
      <c r="G79" s="447"/>
      <c r="H79" s="447"/>
      <c r="I79" s="447"/>
      <c r="J79" s="447"/>
    </row>
  </sheetData>
  <sheetProtection password="E0B2" sheet="1" objects="1" scenarios="1" selectLockedCells="1"/>
  <mergeCells count="63">
    <mergeCell ref="B77:J79"/>
    <mergeCell ref="B35:C35"/>
    <mergeCell ref="B37:J37"/>
    <mergeCell ref="B38:C38"/>
    <mergeCell ref="F38:H38"/>
    <mergeCell ref="B39:C39"/>
    <mergeCell ref="F39:H39"/>
    <mergeCell ref="A43:K43"/>
    <mergeCell ref="B45:J45"/>
    <mergeCell ref="B46:B47"/>
    <mergeCell ref="C46:F46"/>
    <mergeCell ref="G46:J46"/>
    <mergeCell ref="B32:C32"/>
    <mergeCell ref="F32:H32"/>
    <mergeCell ref="B33:C33"/>
    <mergeCell ref="F33:H33"/>
    <mergeCell ref="B34:C34"/>
    <mergeCell ref="F34:H34"/>
    <mergeCell ref="B31:C31"/>
    <mergeCell ref="F31:H31"/>
    <mergeCell ref="F24:H24"/>
    <mergeCell ref="B25:C25"/>
    <mergeCell ref="F25:H25"/>
    <mergeCell ref="B26:C26"/>
    <mergeCell ref="F26:H26"/>
    <mergeCell ref="B28:J28"/>
    <mergeCell ref="B29:C29"/>
    <mergeCell ref="D29:E29"/>
    <mergeCell ref="F29:H29"/>
    <mergeCell ref="B30:C30"/>
    <mergeCell ref="F30:H30"/>
    <mergeCell ref="B23:J23"/>
    <mergeCell ref="B14:J14"/>
    <mergeCell ref="B15:C15"/>
    <mergeCell ref="F15:H15"/>
    <mergeCell ref="B16:C16"/>
    <mergeCell ref="F16:H16"/>
    <mergeCell ref="B18:J18"/>
    <mergeCell ref="F19:H19"/>
    <mergeCell ref="B20:C20"/>
    <mergeCell ref="F20:H20"/>
    <mergeCell ref="B21:C21"/>
    <mergeCell ref="F21:H21"/>
    <mergeCell ref="B12:C12"/>
    <mergeCell ref="F12:H12"/>
    <mergeCell ref="B5:C5"/>
    <mergeCell ref="D5:E5"/>
    <mergeCell ref="F5:H5"/>
    <mergeCell ref="B6:C6"/>
    <mergeCell ref="F6:H6"/>
    <mergeCell ref="B7:C7"/>
    <mergeCell ref="F7:H7"/>
    <mergeCell ref="B9:J9"/>
    <mergeCell ref="B10:C10"/>
    <mergeCell ref="F10:H10"/>
    <mergeCell ref="B11:C11"/>
    <mergeCell ref="F11:H11"/>
    <mergeCell ref="A1:K1"/>
    <mergeCell ref="B3:J3"/>
    <mergeCell ref="B4:C4"/>
    <mergeCell ref="D4:E4"/>
    <mergeCell ref="F4:H4"/>
    <mergeCell ref="I4:J4"/>
  </mergeCells>
  <dataValidations count="9">
    <dataValidation allowBlank="1" showInputMessage="1" showErrorMessage="1" prompt="Default Value is 0.2 ft3/Boiler Hp" sqref="I15"/>
    <dataValidation allowBlank="1" showInputMessage="1" showErrorMessage="1" prompt="Default Value is 10 psi" sqref="D15"/>
    <dataValidation allowBlank="1" showInputMessage="1" showErrorMessage="1" prompt="Default Value is 75%" sqref="D11"/>
    <dataValidation allowBlank="1" showInputMessage="1" showErrorMessage="1" prompt="Default Value is 50F" sqref="I10"/>
    <dataValidation allowBlank="1" showInputMessage="1" showErrorMessage="1" prompt="Default Value is 80F" sqref="D10"/>
    <dataValidation allowBlank="1" showInputMessage="1" showErrorMessage="1" prompt="Default Value is 20%" sqref="I7"/>
    <dataValidation allowBlank="1" showInputMessage="1" showErrorMessage="1" prompt="Default value is 30 seconds" sqref="D7"/>
    <dataValidation type="list" allowBlank="1" showInputMessage="1" showErrorMessage="1" sqref="D5">
      <formula1>"Full Modulating,Low-High-Off,On-Off"</formula1>
    </dataValidation>
    <dataValidation type="list" allowBlank="1" showInputMessage="1" showErrorMessage="1" sqref="D29">
      <formula1>'Fuel Properties'!A7:A13</formula1>
    </dataValidation>
  </dataValidations>
  <printOptions horizontalCentered="1"/>
  <pageMargins left="0.2" right="0.2" top="0.75" bottom="0.75" header="0.3" footer="0.3"/>
  <pageSetup orientation="portrait" r:id="rId1"/>
  <rowBreaks count="1" manualBreakCount="1">
    <brk id="42" max="10" man="1"/>
  </rowBreaks>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dimension ref="A1:N79"/>
  <sheetViews>
    <sheetView view="pageBreakPreview" zoomScaleNormal="100" zoomScaleSheetLayoutView="100" workbookViewId="0">
      <selection activeCell="D4" sqref="D4:E4"/>
    </sheetView>
  </sheetViews>
  <sheetFormatPr defaultRowHeight="15"/>
  <cols>
    <col min="1" max="1" width="1.42578125" style="67" customWidth="1"/>
    <col min="2" max="2" width="19.140625" style="67" customWidth="1"/>
    <col min="3" max="10" width="9.5703125" style="67" customWidth="1"/>
    <col min="11" max="11" width="1.42578125" style="67" customWidth="1"/>
    <col min="12" max="16" width="9.28515625" style="67" customWidth="1"/>
    <col min="17" max="16384" width="9.140625" style="67"/>
  </cols>
  <sheetData>
    <row r="1" spans="1:14" ht="30" customHeight="1">
      <c r="A1" s="425" t="s">
        <v>124</v>
      </c>
      <c r="B1" s="425"/>
      <c r="C1" s="425"/>
      <c r="D1" s="425"/>
      <c r="E1" s="425"/>
      <c r="F1" s="425"/>
      <c r="G1" s="425"/>
      <c r="H1" s="425"/>
      <c r="I1" s="425"/>
      <c r="J1" s="425"/>
      <c r="K1" s="425"/>
      <c r="L1" s="174"/>
      <c r="M1" s="174"/>
    </row>
    <row r="2" spans="1:14" ht="15" customHeight="1"/>
    <row r="3" spans="1:14" ht="15" customHeight="1">
      <c r="B3" s="439" t="s">
        <v>194</v>
      </c>
      <c r="C3" s="439"/>
      <c r="D3" s="439"/>
      <c r="E3" s="439"/>
      <c r="F3" s="439"/>
      <c r="G3" s="439"/>
      <c r="H3" s="439"/>
      <c r="I3" s="439"/>
      <c r="J3" s="439"/>
    </row>
    <row r="4" spans="1:14" ht="15" customHeight="1">
      <c r="B4" s="428" t="s">
        <v>96</v>
      </c>
      <c r="C4" s="430"/>
      <c r="D4" s="437"/>
      <c r="E4" s="438"/>
      <c r="F4" s="432" t="s">
        <v>239</v>
      </c>
      <c r="G4" s="432"/>
      <c r="H4" s="432"/>
      <c r="I4" s="448"/>
      <c r="J4" s="448"/>
      <c r="K4" s="68"/>
    </row>
    <row r="5" spans="1:14" ht="15" customHeight="1">
      <c r="B5" s="432" t="s">
        <v>95</v>
      </c>
      <c r="C5" s="432"/>
      <c r="D5" s="437"/>
      <c r="E5" s="438"/>
      <c r="F5" s="428" t="s">
        <v>77</v>
      </c>
      <c r="G5" s="429"/>
      <c r="H5" s="430"/>
      <c r="I5" s="247">
        <f>SUM(C51:F51)</f>
        <v>0</v>
      </c>
      <c r="J5" s="175" t="s">
        <v>92</v>
      </c>
    </row>
    <row r="6" spans="1:14" ht="15" customHeight="1">
      <c r="B6" s="434" t="s">
        <v>176</v>
      </c>
      <c r="C6" s="434"/>
      <c r="D6" s="249" t="e">
        <f ca="1">D38/((I7-F49)*I6)*(I7/F49)*0.00006</f>
        <v>#DIV/0!</v>
      </c>
      <c r="E6" s="176" t="s">
        <v>164</v>
      </c>
      <c r="F6" s="434" t="s">
        <v>94</v>
      </c>
      <c r="G6" s="434"/>
      <c r="H6" s="434"/>
      <c r="I6" s="251"/>
      <c r="J6" s="177" t="s">
        <v>93</v>
      </c>
    </row>
    <row r="7" spans="1:14" ht="15" customHeight="1">
      <c r="B7" s="435" t="s">
        <v>162</v>
      </c>
      <c r="C7" s="435"/>
      <c r="D7" s="252"/>
      <c r="E7" s="178" t="s">
        <v>163</v>
      </c>
      <c r="F7" s="432" t="s">
        <v>160</v>
      </c>
      <c r="G7" s="432"/>
      <c r="H7" s="432"/>
      <c r="I7" s="254"/>
      <c r="J7" s="248"/>
      <c r="N7" s="179"/>
    </row>
    <row r="8" spans="1:14" ht="15" customHeight="1">
      <c r="B8" s="188"/>
      <c r="C8" s="188"/>
      <c r="D8" s="181"/>
      <c r="E8" s="188"/>
      <c r="F8" s="182"/>
      <c r="G8" s="182"/>
      <c r="H8" s="182"/>
      <c r="I8" s="183"/>
      <c r="J8" s="182"/>
      <c r="N8" s="179"/>
    </row>
    <row r="9" spans="1:14" ht="15" customHeight="1">
      <c r="B9" s="439" t="s">
        <v>195</v>
      </c>
      <c r="C9" s="439"/>
      <c r="D9" s="439"/>
      <c r="E9" s="439"/>
      <c r="F9" s="439"/>
      <c r="G9" s="439"/>
      <c r="H9" s="439"/>
      <c r="I9" s="439"/>
      <c r="J9" s="439"/>
    </row>
    <row r="10" spans="1:14" ht="15" customHeight="1">
      <c r="B10" s="426" t="s">
        <v>91</v>
      </c>
      <c r="C10" s="426"/>
      <c r="D10" s="255"/>
      <c r="E10" s="256" t="s">
        <v>226</v>
      </c>
      <c r="F10" s="431" t="s">
        <v>198</v>
      </c>
      <c r="G10" s="431"/>
      <c r="H10" s="431"/>
      <c r="I10" s="257"/>
      <c r="J10" s="184" t="s">
        <v>83</v>
      </c>
    </row>
    <row r="11" spans="1:14" ht="15" customHeight="1">
      <c r="B11" s="433" t="s">
        <v>161</v>
      </c>
      <c r="C11" s="433"/>
      <c r="D11" s="258"/>
      <c r="E11" s="250"/>
      <c r="F11" s="434" t="s">
        <v>86</v>
      </c>
      <c r="G11" s="434"/>
      <c r="H11" s="434"/>
      <c r="I11" s="259">
        <f>-0.0000000000000723527*I12^3+0.00000000795644*I12^2-0.00053178*I12+14.6958</f>
        <v>14.6958</v>
      </c>
      <c r="J11" s="185" t="s">
        <v>85</v>
      </c>
    </row>
    <row r="12" spans="1:14" ht="15" customHeight="1">
      <c r="B12" s="432" t="s">
        <v>88</v>
      </c>
      <c r="C12" s="432"/>
      <c r="D12" s="260"/>
      <c r="E12" s="253" t="s">
        <v>87</v>
      </c>
      <c r="F12" s="435" t="s">
        <v>90</v>
      </c>
      <c r="G12" s="435"/>
      <c r="H12" s="435"/>
      <c r="I12" s="260"/>
      <c r="J12" s="175" t="s">
        <v>89</v>
      </c>
    </row>
    <row r="13" spans="1:14" ht="15" customHeight="1">
      <c r="B13" s="182"/>
      <c r="C13" s="182"/>
      <c r="D13" s="186"/>
      <c r="E13" s="188"/>
      <c r="F13" s="188"/>
      <c r="G13" s="188"/>
      <c r="H13" s="188"/>
      <c r="I13" s="186"/>
      <c r="J13" s="182"/>
    </row>
    <row r="14" spans="1:14" ht="15" customHeight="1">
      <c r="B14" s="439" t="s">
        <v>196</v>
      </c>
      <c r="C14" s="439"/>
      <c r="D14" s="439"/>
      <c r="E14" s="439"/>
      <c r="F14" s="439"/>
      <c r="G14" s="439"/>
      <c r="H14" s="439"/>
      <c r="I14" s="439"/>
      <c r="J14" s="439"/>
    </row>
    <row r="15" spans="1:14" ht="15" customHeight="1">
      <c r="A15" s="87"/>
      <c r="B15" s="436" t="s">
        <v>165</v>
      </c>
      <c r="C15" s="436"/>
      <c r="D15" s="261"/>
      <c r="E15" s="187" t="s">
        <v>166</v>
      </c>
      <c r="F15" s="426" t="s">
        <v>167</v>
      </c>
      <c r="G15" s="426"/>
      <c r="H15" s="426"/>
      <c r="I15" s="262">
        <f>I6*29.876249572*0.2</f>
        <v>0</v>
      </c>
      <c r="J15" s="184" t="s">
        <v>168</v>
      </c>
    </row>
    <row r="16" spans="1:14" ht="15" customHeight="1">
      <c r="B16" s="435" t="s">
        <v>171</v>
      </c>
      <c r="C16" s="435"/>
      <c r="D16" s="309">
        <f>1.986/18</f>
        <v>0.11033333333333334</v>
      </c>
      <c r="E16" s="178" t="s">
        <v>170</v>
      </c>
      <c r="F16" s="427"/>
      <c r="G16" s="427"/>
      <c r="H16" s="427"/>
      <c r="I16" s="68"/>
    </row>
    <row r="17" spans="2:12" ht="15" customHeight="1">
      <c r="B17" s="188"/>
      <c r="C17" s="188"/>
      <c r="D17" s="189"/>
      <c r="E17" s="188"/>
      <c r="F17" s="188"/>
      <c r="G17" s="188"/>
      <c r="H17" s="188"/>
      <c r="I17" s="68"/>
    </row>
    <row r="18" spans="2:12" ht="15" customHeight="1">
      <c r="B18" s="439" t="s">
        <v>200</v>
      </c>
      <c r="C18" s="439"/>
      <c r="D18" s="439"/>
      <c r="E18" s="439"/>
      <c r="F18" s="439"/>
      <c r="G18" s="439"/>
      <c r="H18" s="439"/>
      <c r="I18" s="439"/>
      <c r="J18" s="439"/>
    </row>
    <row r="19" spans="2:12" ht="15" customHeight="1">
      <c r="B19" s="263" t="s">
        <v>207</v>
      </c>
      <c r="C19" s="264"/>
      <c r="D19" s="265"/>
      <c r="E19" s="184" t="s">
        <v>84</v>
      </c>
      <c r="F19" s="442" t="s">
        <v>208</v>
      </c>
      <c r="G19" s="443"/>
      <c r="H19" s="444"/>
      <c r="I19" s="284">
        <f ca="1">(OFFSET('Steam Properties'!$A$5,MATCH(D19,'Steam Properties'!$A$5:'Steam Properties'!$A$129,TRUE),1,1,1)-VLOOKUP(D19,'Steam Properties'!$A$5:'Steam Properties'!$F$129,2,TRUE))/(OFFSET('Steam Properties'!$A$5,MATCH(D19,'Steam Properties'!$A$5:'Steam Properties'!$A$129,TRUE),0,1,1)-VLOOKUP(D19,'Steam Properties'!$A$5:'Steam Properties'!$F$129,1,TRUE))*(D19-VLOOKUP(D19,'Steam Properties'!$A$5:'Steam Properties'!$F$129,1,TRUE))+VLOOKUP(D19,'Steam Properties'!$A$5:'Steam Properties'!$F$129,2,TRUE)</f>
        <v>212</v>
      </c>
      <c r="J19" s="184" t="s">
        <v>83</v>
      </c>
      <c r="L19" s="284"/>
    </row>
    <row r="20" spans="2:12" ht="15" customHeight="1">
      <c r="B20" s="433" t="s">
        <v>204</v>
      </c>
      <c r="C20" s="433"/>
      <c r="D20" s="266">
        <f ca="1">(OFFSET('Steam Properties'!$A$5,MATCH(D19,'Steam Properties'!$A$5:'Steam Properties'!$A$129,TRUE),1,1,1)-VLOOKUP(D19,'Steam Properties'!$A$5:'Steam Properties'!$F$129,3,TRUE))/(OFFSET('Steam Properties'!$A$5,MATCH(D19,'Steam Properties'!$A$5:'Steam Properties'!$A$129,TRUE),0,1,1)-VLOOKUP(D19,'Steam Properties'!$A$5:'Steam Properties'!$F$129,1,TRUE))*(D19-VLOOKUP(D19,'Steam Properties'!$A$5:'Steam Properties'!$F$129,1,TRUE))+VLOOKUP(D19,'Steam Properties'!$A$5:'Steam Properties'!$F$129,3,TRUE)</f>
        <v>26.8</v>
      </c>
      <c r="E20" s="190" t="s">
        <v>205</v>
      </c>
      <c r="F20" s="433" t="s">
        <v>202</v>
      </c>
      <c r="G20" s="433"/>
      <c r="H20" s="433"/>
      <c r="I20" s="267">
        <f ca="1">(OFFSET('Steam Properties'!$A$5,MATCH(D19,'Steam Properties'!$A$5:'Steam Properties'!$A$129,TRUE),1,1,1)-VLOOKUP(D19,'Steam Properties'!$A$5:'Steam Properties'!$F$129,4,TRUE))/(OFFSET('Steam Properties'!$A$5,MATCH(D19,'Steam Properties'!$A$5:'Steam Properties'!$A$129,TRUE),0,1,1)-VLOOKUP(D19,'Steam Properties'!$A$5:'Steam Properties'!$F$129,1,TRUE))*(D19-VLOOKUP(D19,'Steam Properties'!$A$5:'Steam Properties'!$F$129,1,TRUE))+VLOOKUP(D19,'Steam Properties'!$A$5:'Steam Properties'!$F$129,4,TRUE)</f>
        <v>180</v>
      </c>
      <c r="J20" s="185" t="s">
        <v>169</v>
      </c>
    </row>
    <row r="21" spans="2:12" ht="15" customHeight="1">
      <c r="B21" s="435" t="s">
        <v>201</v>
      </c>
      <c r="C21" s="435"/>
      <c r="D21" s="268">
        <f ca="1">(OFFSET('Steam Properties'!$A$5,MATCH(D19,'Steam Properties'!$A$5:'Steam Properties'!$A$129,TRUE),1,1,1)-VLOOKUP(D19,'Steam Properties'!$A$5:'Steam Properties'!$F$129,5,TRUE))/(OFFSET('Steam Properties'!$A$5,MATCH(D19,'Steam Properties'!$A$5:'Steam Properties'!$A$129,TRUE),0,1,1)-VLOOKUP(D19,'Steam Properties'!$A$5:'Steam Properties'!$F$129,1,TRUE))*(D19-VLOOKUP(D19,'Steam Properties'!$A$5:'Steam Properties'!$F$129,1,TRUE))+VLOOKUP(D19,'Steam Properties'!$A$5:'Steam Properties'!$F$129,5,TRUE)</f>
        <v>970</v>
      </c>
      <c r="E21" s="178" t="s">
        <v>169</v>
      </c>
      <c r="F21" s="435" t="s">
        <v>203</v>
      </c>
      <c r="G21" s="435"/>
      <c r="H21" s="435"/>
      <c r="I21" s="269">
        <f ca="1">(OFFSET('Steam Properties'!$A$5,MATCH(D19,'Steam Properties'!$A$5:'Steam Properties'!$A$129,TRUE),1,1,1)-VLOOKUP(D19,'Steam Properties'!$A$5:'Steam Properties'!$F$129,6,TRUE))/(OFFSET('Steam Properties'!$A$5,MATCH(D19,'Steam Properties'!$A$5:'Steam Properties'!$A$129,TRUE),0,1,1)-VLOOKUP(D19,'Steam Properties'!$A$5:'Steam Properties'!$F$129,1,TRUE))*(D19-VLOOKUP(D19,'Steam Properties'!$A$5:'Steam Properties'!$F$129,1,TRUE))+VLOOKUP(D19,'Steam Properties'!$A$5:'Steam Properties'!$F$129,6,TRUE)</f>
        <v>1150</v>
      </c>
      <c r="J21" s="178" t="s">
        <v>169</v>
      </c>
    </row>
    <row r="22" spans="2:12" ht="15" customHeight="1">
      <c r="B22" s="188"/>
      <c r="C22" s="188"/>
      <c r="D22" s="191"/>
      <c r="E22" s="188"/>
      <c r="F22" s="188"/>
      <c r="G22" s="188"/>
      <c r="H22" s="188"/>
      <c r="I22" s="153"/>
      <c r="J22" s="188"/>
    </row>
    <row r="23" spans="2:12" ht="15" customHeight="1">
      <c r="B23" s="439" t="s">
        <v>206</v>
      </c>
      <c r="C23" s="439"/>
      <c r="D23" s="439"/>
      <c r="E23" s="439"/>
      <c r="F23" s="439"/>
      <c r="G23" s="439"/>
      <c r="H23" s="439"/>
      <c r="I23" s="439"/>
      <c r="J23" s="439"/>
    </row>
    <row r="24" spans="2:12" ht="15" customHeight="1">
      <c r="B24" s="263" t="s">
        <v>209</v>
      </c>
      <c r="C24" s="264"/>
      <c r="D24" s="265"/>
      <c r="E24" s="184" t="s">
        <v>84</v>
      </c>
      <c r="F24" s="442" t="s">
        <v>210</v>
      </c>
      <c r="G24" s="443"/>
      <c r="H24" s="444"/>
      <c r="I24" s="284">
        <f ca="1">(OFFSET('Steam Properties'!$A$5,MATCH(D24,'Steam Properties'!$A$5:'Steam Properties'!$A$129,TRUE),1,1,1)-VLOOKUP(D24,'Steam Properties'!$A$5:'Steam Properties'!$F$129,2,TRUE))/(OFFSET('Steam Properties'!$A$5,MATCH(D24,'Steam Properties'!$A$5:'Steam Properties'!$A$129,TRUE),0,1,1)-VLOOKUP(D24,'Steam Properties'!$A$5:'Steam Properties'!$F$129,1,TRUE))*(D24-VLOOKUP(D24,'Steam Properties'!$A$5:'Steam Properties'!$F$129,1,TRUE))+VLOOKUP(D24,'Steam Properties'!$A$5:'Steam Properties'!$F$129,2,TRUE)</f>
        <v>212</v>
      </c>
      <c r="J24" s="184" t="s">
        <v>83</v>
      </c>
      <c r="L24" s="284"/>
    </row>
    <row r="25" spans="2:12" ht="15" customHeight="1">
      <c r="B25" s="433" t="s">
        <v>204</v>
      </c>
      <c r="C25" s="433"/>
      <c r="D25" s="266">
        <f ca="1">(OFFSET('Steam Properties'!$A$5,MATCH(D24,'Steam Properties'!$A$5:'Steam Properties'!$A$129,TRUE),1,1,1)-VLOOKUP(D24,'Steam Properties'!$A$5:'Steam Properties'!$F$129,3,TRUE))/(OFFSET('Steam Properties'!$A$5,MATCH(D24,'Steam Properties'!$A$5:'Steam Properties'!$A$129,TRUE),0,1,1)-VLOOKUP(D24,'Steam Properties'!$A$5:'Steam Properties'!$F$129,1,TRUE))*(D24-VLOOKUP(D24,'Steam Properties'!$A$5:'Steam Properties'!$F$129,1,TRUE))+VLOOKUP(D24,'Steam Properties'!$A$5:'Steam Properties'!$F$129,3,TRUE)</f>
        <v>26.8</v>
      </c>
      <c r="E25" s="190" t="s">
        <v>205</v>
      </c>
      <c r="F25" s="433" t="s">
        <v>202</v>
      </c>
      <c r="G25" s="433"/>
      <c r="H25" s="433"/>
      <c r="I25" s="267">
        <f ca="1">(OFFSET('Steam Properties'!$A$5,MATCH(D24,'Steam Properties'!$A$5:'Steam Properties'!$A$129,TRUE),1,1,1)-VLOOKUP(D24,'Steam Properties'!$A$5:'Steam Properties'!$F$129,4,TRUE))/(OFFSET('Steam Properties'!$A$5,MATCH(D24,'Steam Properties'!$A$5:'Steam Properties'!$A$129,TRUE),0,1,1)-VLOOKUP(D24,'Steam Properties'!$A$5:'Steam Properties'!$F$129,1,TRUE))*(D24-VLOOKUP(D24,'Steam Properties'!$A$5:'Steam Properties'!$F$129,1,TRUE))+VLOOKUP(D24,'Steam Properties'!$A$5:'Steam Properties'!$F$129,4,TRUE)</f>
        <v>180</v>
      </c>
      <c r="J25" s="185" t="s">
        <v>169</v>
      </c>
    </row>
    <row r="26" spans="2:12" ht="15" customHeight="1">
      <c r="B26" s="435" t="s">
        <v>201</v>
      </c>
      <c r="C26" s="435"/>
      <c r="D26" s="268">
        <f ca="1">(OFFSET('Steam Properties'!$A$5,MATCH(D24,'Steam Properties'!$A$5:'Steam Properties'!$A$129,TRUE),1,1,1)-VLOOKUP(D24,'Steam Properties'!$A$5:'Steam Properties'!$F$129,5,TRUE))/(OFFSET('Steam Properties'!$A$5,MATCH(D24,'Steam Properties'!$A$5:'Steam Properties'!$A$129,TRUE),0,1,1)-VLOOKUP(D24,'Steam Properties'!$A$5:'Steam Properties'!$F$129,1,TRUE))*(D24-VLOOKUP(D24,'Steam Properties'!$A$5:'Steam Properties'!$F$129,1,TRUE))+VLOOKUP(D24,'Steam Properties'!$A$5:'Steam Properties'!$F$129,5,TRUE)</f>
        <v>970</v>
      </c>
      <c r="E26" s="178" t="s">
        <v>169</v>
      </c>
      <c r="F26" s="435" t="s">
        <v>203</v>
      </c>
      <c r="G26" s="435"/>
      <c r="H26" s="435"/>
      <c r="I26" s="268">
        <f ca="1">(OFFSET('Steam Properties'!$A$5,MATCH(D24,'Steam Properties'!$A$5:'Steam Properties'!$A$129,TRUE),1,1,1)-VLOOKUP(D24,'Steam Properties'!$A$5:'Steam Properties'!$F$129,6,TRUE))/(OFFSET('Steam Properties'!$A$5,MATCH(D24,'Steam Properties'!$A$5:'Steam Properties'!$A$129,TRUE),0,1,1)-VLOOKUP(D24,'Steam Properties'!$A$5:'Steam Properties'!$F$129,1,TRUE))*(D24-VLOOKUP(D24,'Steam Properties'!$A$5:'Steam Properties'!$F$129,1,TRUE))+VLOOKUP(D24,'Steam Properties'!$A$5:'Steam Properties'!$F$129,6,TRUE)</f>
        <v>1150</v>
      </c>
      <c r="J26" s="178" t="s">
        <v>169</v>
      </c>
    </row>
    <row r="27" spans="2:12" ht="15" customHeight="1">
      <c r="B27" s="188"/>
      <c r="C27" s="188"/>
      <c r="D27" s="191"/>
      <c r="E27" s="188"/>
      <c r="F27" s="188"/>
      <c r="G27" s="188"/>
      <c r="H27" s="188"/>
      <c r="I27" s="191"/>
      <c r="J27" s="188"/>
    </row>
    <row r="28" spans="2:12" ht="15" customHeight="1">
      <c r="B28" s="439" t="s">
        <v>211</v>
      </c>
      <c r="C28" s="439"/>
      <c r="D28" s="439"/>
      <c r="E28" s="439"/>
      <c r="F28" s="439"/>
      <c r="G28" s="439"/>
      <c r="H28" s="439"/>
      <c r="I28" s="439"/>
      <c r="J28" s="439"/>
    </row>
    <row r="29" spans="2:12" ht="15" customHeight="1">
      <c r="B29" s="442" t="s">
        <v>56</v>
      </c>
      <c r="C29" s="444"/>
      <c r="D29" s="440"/>
      <c r="E29" s="441"/>
      <c r="F29" s="442" t="s">
        <v>199</v>
      </c>
      <c r="G29" s="443"/>
      <c r="H29" s="444"/>
      <c r="I29" s="270"/>
      <c r="J29" s="184" t="s">
        <v>223</v>
      </c>
    </row>
    <row r="30" spans="2:12" ht="15" customHeight="1">
      <c r="B30" s="435" t="s">
        <v>212</v>
      </c>
      <c r="C30" s="435"/>
      <c r="D30" s="271" t="e">
        <f>VLOOKUP($D$29,'Fuel Properties'!$A$7:$L$13,2,FALSE)</f>
        <v>#N/A</v>
      </c>
      <c r="E30" s="192" t="s">
        <v>39</v>
      </c>
      <c r="F30" s="435" t="s">
        <v>213</v>
      </c>
      <c r="G30" s="435"/>
      <c r="H30" s="435"/>
      <c r="I30" s="271" t="e">
        <f>VLOOKUP($D$29,'Fuel Properties'!$A$7:$L$13,3,FALSE)</f>
        <v>#N/A</v>
      </c>
      <c r="J30" s="178" t="s">
        <v>38</v>
      </c>
    </row>
    <row r="31" spans="2:12" ht="15" customHeight="1">
      <c r="B31" s="445" t="s">
        <v>214</v>
      </c>
      <c r="C31" s="446"/>
      <c r="D31" s="271" t="e">
        <f>VLOOKUP($D$29,'Fuel Properties'!$A$7:$L$13,4,FALSE)</f>
        <v>#N/A</v>
      </c>
      <c r="E31" s="178" t="s">
        <v>37</v>
      </c>
      <c r="F31" s="435" t="s">
        <v>215</v>
      </c>
      <c r="G31" s="435"/>
      <c r="H31" s="435"/>
      <c r="I31" s="271" t="e">
        <f>VLOOKUP($D$29,'Fuel Properties'!$A$7:$L$13,5,FALSE)</f>
        <v>#N/A</v>
      </c>
      <c r="J31" s="178" t="s">
        <v>221</v>
      </c>
    </row>
    <row r="32" spans="2:12" ht="15" customHeight="1">
      <c r="B32" s="435" t="s">
        <v>216</v>
      </c>
      <c r="C32" s="435"/>
      <c r="D32" s="271" t="e">
        <f>VLOOKUP($D$29,'Fuel Properties'!$A$7:$L$13,6,FALSE)</f>
        <v>#N/A</v>
      </c>
      <c r="E32" s="192" t="s">
        <v>222</v>
      </c>
      <c r="F32" s="435" t="s">
        <v>217</v>
      </c>
      <c r="G32" s="435"/>
      <c r="H32" s="435"/>
      <c r="I32" s="271" t="e">
        <f>VLOOKUP($D$29,'Fuel Properties'!$A$7:$L$13,7,FALSE)</f>
        <v>#N/A</v>
      </c>
      <c r="J32" s="178"/>
    </row>
    <row r="33" spans="1:13" ht="15" customHeight="1">
      <c r="B33" s="435" t="s">
        <v>218</v>
      </c>
      <c r="C33" s="435"/>
      <c r="D33" s="271" t="e">
        <f>VLOOKUP($D$29,'Fuel Properties'!$A$7:$L$13,8,FALSE)</f>
        <v>#N/A</v>
      </c>
      <c r="E33" s="192"/>
      <c r="F33" s="435" t="s">
        <v>219</v>
      </c>
      <c r="G33" s="435"/>
      <c r="H33" s="435"/>
      <c r="I33" s="272" t="e">
        <f>VLOOKUP($D$29,'Fuel Properties'!$A$7:$L$13,9,FALSE)</f>
        <v>#N/A</v>
      </c>
      <c r="J33" s="178" t="s">
        <v>169</v>
      </c>
    </row>
    <row r="34" spans="1:13" ht="15" customHeight="1">
      <c r="B34" s="454" t="s">
        <v>220</v>
      </c>
      <c r="C34" s="455"/>
      <c r="D34" s="267" t="e">
        <f>VLOOKUP($D$29,'Fuel Properties'!$A$7:$L$13,10,FALSE)</f>
        <v>#N/A</v>
      </c>
      <c r="E34" s="185" t="s">
        <v>234</v>
      </c>
      <c r="F34" s="435" t="s">
        <v>235</v>
      </c>
      <c r="G34" s="435"/>
      <c r="H34" s="435"/>
      <c r="I34" s="271" t="e">
        <f>VLOOKUP($D$29,'Fuel Properties'!$A$7:$L$13,11,FALSE)</f>
        <v>#N/A</v>
      </c>
      <c r="J34" s="192" t="s">
        <v>222</v>
      </c>
    </row>
    <row r="35" spans="1:13" ht="15" customHeight="1">
      <c r="B35" s="435" t="s">
        <v>236</v>
      </c>
      <c r="C35" s="435"/>
      <c r="D35" s="271" t="e">
        <f>VLOOKUP($D$29,'Fuel Properties'!$A$7:$L$13,12,FALSE)</f>
        <v>#N/A</v>
      </c>
      <c r="E35" s="192" t="s">
        <v>222</v>
      </c>
      <c r="F35" s="273"/>
      <c r="G35" s="273"/>
      <c r="H35" s="273"/>
      <c r="I35" s="179"/>
      <c r="J35" s="273"/>
    </row>
    <row r="36" spans="1:13" ht="15" customHeight="1">
      <c r="B36" s="188"/>
      <c r="C36" s="188"/>
      <c r="D36" s="193"/>
      <c r="E36" s="188"/>
      <c r="F36" s="188"/>
      <c r="G36" s="188"/>
      <c r="H36" s="188"/>
      <c r="I36" s="191"/>
      <c r="J36" s="188"/>
    </row>
    <row r="37" spans="1:13" ht="15" customHeight="1">
      <c r="B37" s="439" t="s">
        <v>197</v>
      </c>
      <c r="C37" s="439"/>
      <c r="D37" s="439"/>
      <c r="E37" s="439"/>
      <c r="F37" s="439"/>
      <c r="G37" s="439"/>
      <c r="H37" s="439"/>
      <c r="I37" s="439"/>
      <c r="J37" s="439"/>
    </row>
    <row r="38" spans="1:13" ht="15" customHeight="1">
      <c r="B38" s="426" t="s">
        <v>175</v>
      </c>
      <c r="C38" s="426"/>
      <c r="D38" s="274">
        <f ca="1">(D15*I15*I21)/(D16*(I19+460))</f>
        <v>0</v>
      </c>
      <c r="E38" s="194"/>
      <c r="F38" s="426" t="s">
        <v>172</v>
      </c>
      <c r="G38" s="426"/>
      <c r="H38" s="426"/>
      <c r="I38" s="275" t="e">
        <f ca="1">D38/(F49*I6)/(I7/F49-1)*0.00006</f>
        <v>#DIV/0!</v>
      </c>
      <c r="J38" s="194" t="s">
        <v>164</v>
      </c>
    </row>
    <row r="39" spans="1:13" ht="15" customHeight="1">
      <c r="B39" s="435" t="s">
        <v>173</v>
      </c>
      <c r="C39" s="435"/>
      <c r="D39" s="276" t="e">
        <f ca="1">D38/(F49*I6)/(1-F49/I7)*0.00006</f>
        <v>#DIV/0!</v>
      </c>
      <c r="E39" s="175" t="s">
        <v>164</v>
      </c>
      <c r="F39" s="435" t="s">
        <v>174</v>
      </c>
      <c r="G39" s="435"/>
      <c r="H39" s="435"/>
      <c r="I39" s="277" t="e">
        <f ca="1">D38/(F49*I6)*0.00006</f>
        <v>#DIV/0!</v>
      </c>
      <c r="J39" s="175" t="s">
        <v>164</v>
      </c>
    </row>
    <row r="40" spans="1:13" ht="15" customHeight="1">
      <c r="B40" s="188"/>
      <c r="C40" s="188"/>
      <c r="D40" s="154"/>
      <c r="E40" s="182"/>
      <c r="F40" s="188"/>
      <c r="G40" s="188"/>
      <c r="H40" s="188"/>
      <c r="I40" s="155"/>
      <c r="J40" s="182"/>
    </row>
    <row r="41" spans="1:13" ht="15" customHeight="1">
      <c r="B41" s="188"/>
      <c r="C41" s="188"/>
      <c r="D41" s="154"/>
      <c r="E41" s="182"/>
      <c r="F41" s="188"/>
      <c r="G41" s="188"/>
      <c r="H41" s="188"/>
      <c r="I41" s="155"/>
      <c r="J41" s="182"/>
    </row>
    <row r="42" spans="1:13" ht="15" customHeight="1">
      <c r="B42" s="188"/>
      <c r="C42" s="188"/>
      <c r="D42" s="154"/>
      <c r="E42" s="182"/>
      <c r="F42" s="188"/>
      <c r="G42" s="188"/>
      <c r="H42" s="188"/>
      <c r="I42" s="155"/>
      <c r="J42" s="182"/>
    </row>
    <row r="43" spans="1:13" ht="30" customHeight="1">
      <c r="A43" s="425" t="s">
        <v>124</v>
      </c>
      <c r="B43" s="425"/>
      <c r="C43" s="425"/>
      <c r="D43" s="425"/>
      <c r="E43" s="425"/>
      <c r="F43" s="425"/>
      <c r="G43" s="425"/>
      <c r="H43" s="425"/>
      <c r="I43" s="425"/>
      <c r="J43" s="425"/>
      <c r="K43" s="425"/>
    </row>
    <row r="44" spans="1:13" ht="15" customHeight="1"/>
    <row r="45" spans="1:13" ht="15" customHeight="1">
      <c r="B45" s="439" t="s">
        <v>57</v>
      </c>
      <c r="C45" s="439"/>
      <c r="D45" s="439"/>
      <c r="E45" s="439"/>
      <c r="F45" s="439"/>
      <c r="G45" s="439"/>
      <c r="H45" s="439"/>
      <c r="I45" s="439"/>
      <c r="J45" s="439"/>
    </row>
    <row r="46" spans="1:13" ht="15" customHeight="1">
      <c r="B46" s="452"/>
      <c r="C46" s="449" t="s">
        <v>100</v>
      </c>
      <c r="D46" s="450"/>
      <c r="E46" s="450"/>
      <c r="F46" s="451"/>
      <c r="G46" s="449" t="s">
        <v>82</v>
      </c>
      <c r="H46" s="450"/>
      <c r="I46" s="450"/>
      <c r="J46" s="451"/>
      <c r="M46" s="195"/>
    </row>
    <row r="47" spans="1:13" ht="15" customHeight="1">
      <c r="B47" s="453"/>
      <c r="C47" s="196" t="s">
        <v>51</v>
      </c>
      <c r="D47" s="197" t="s">
        <v>81</v>
      </c>
      <c r="E47" s="196" t="s">
        <v>50</v>
      </c>
      <c r="F47" s="197" t="s">
        <v>80</v>
      </c>
      <c r="G47" s="196" t="s">
        <v>51</v>
      </c>
      <c r="H47" s="197" t="s">
        <v>81</v>
      </c>
      <c r="I47" s="196" t="s">
        <v>50</v>
      </c>
      <c r="J47" s="197" t="s">
        <v>80</v>
      </c>
    </row>
    <row r="48" spans="1:13" ht="15" customHeight="1">
      <c r="B48" s="198" t="s">
        <v>79</v>
      </c>
      <c r="C48" s="199"/>
      <c r="D48" s="199"/>
      <c r="E48" s="199"/>
      <c r="F48" s="199"/>
      <c r="G48" s="199"/>
      <c r="H48" s="199"/>
      <c r="I48" s="199"/>
      <c r="J48" s="200"/>
    </row>
    <row r="49" spans="2:10" ht="15" customHeight="1">
      <c r="B49" s="201" t="s">
        <v>78</v>
      </c>
      <c r="C49" s="156">
        <v>1</v>
      </c>
      <c r="D49" s="157">
        <v>0.7</v>
      </c>
      <c r="E49" s="157">
        <v>0.4</v>
      </c>
      <c r="F49" s="158">
        <v>0.1</v>
      </c>
      <c r="G49" s="118">
        <f>C49</f>
        <v>1</v>
      </c>
      <c r="H49" s="119">
        <f>D49</f>
        <v>0.7</v>
      </c>
      <c r="I49" s="119">
        <f>E49</f>
        <v>0.4</v>
      </c>
      <c r="J49" s="120">
        <f>F49</f>
        <v>0.1</v>
      </c>
    </row>
    <row r="50" spans="2:10" ht="15" customHeight="1">
      <c r="B50" s="202" t="s">
        <v>237</v>
      </c>
      <c r="C50" s="63" t="str">
        <f>IF(C51=0,"-",C49*$I$6)</f>
        <v>-</v>
      </c>
      <c r="D50" s="64" t="str">
        <f>IF(D51=0,"-",D49*$I$6)</f>
        <v>-</v>
      </c>
      <c r="E50" s="64" t="str">
        <f>IF(E51=0,"-",E49*$I$6)</f>
        <v>-</v>
      </c>
      <c r="F50" s="65" t="str">
        <f>IF(F51=0,"-",F49*$I$6)</f>
        <v>-</v>
      </c>
      <c r="G50" s="63" t="str">
        <f>IF(G51=0,"-",IF(ISERROR(G72)=TRUE,C50,C50*C72/G72))</f>
        <v>-</v>
      </c>
      <c r="H50" s="64" t="str">
        <f>IF(H51=0,"-",IF(ISERROR(H72)=TRUE,D50,D50*D72/H72))</f>
        <v>-</v>
      </c>
      <c r="I50" s="64" t="str">
        <f>IF(I51=0,"-",IF(ISERROR(I72)=TRUE,E50,E50*E72/I72))</f>
        <v>-</v>
      </c>
      <c r="J50" s="65" t="str">
        <f>IF(J51=0,"-",IF(ISERROR(J72)=TRUE,F50,F50*F72/J72))</f>
        <v>-</v>
      </c>
    </row>
    <row r="51" spans="2:10" ht="15" customHeight="1">
      <c r="B51" s="201" t="s">
        <v>77</v>
      </c>
      <c r="C51" s="159">
        <v>0</v>
      </c>
      <c r="D51" s="160">
        <v>0</v>
      </c>
      <c r="E51" s="160">
        <v>0</v>
      </c>
      <c r="F51" s="161">
        <v>0</v>
      </c>
      <c r="G51" s="121">
        <f>C51</f>
        <v>0</v>
      </c>
      <c r="H51" s="122">
        <f>D51</f>
        <v>0</v>
      </c>
      <c r="I51" s="122">
        <f>E51</f>
        <v>0</v>
      </c>
      <c r="J51" s="123">
        <f>F51</f>
        <v>0</v>
      </c>
    </row>
    <row r="52" spans="2:10" ht="15" customHeight="1">
      <c r="B52" s="203" t="s">
        <v>238</v>
      </c>
      <c r="C52" s="37" t="str">
        <f>IF(C51=0,"-",C51*C50)</f>
        <v>-</v>
      </c>
      <c r="D52" s="38" t="str">
        <f>IF(D51=0,"-",D51*D50)</f>
        <v>-</v>
      </c>
      <c r="E52" s="38" t="str">
        <f>IF(E51=0,"-",E51*E50)</f>
        <v>-</v>
      </c>
      <c r="F52" s="39" t="str">
        <f>IF(F51=0,"-",F51*F50)</f>
        <v>-</v>
      </c>
      <c r="G52" s="37" t="str">
        <f>IF(G51=0,"-",C52*C72/G72)</f>
        <v>-</v>
      </c>
      <c r="H52" s="38" t="str">
        <f>IF(H51=0,"-",D52*D72/H72)</f>
        <v>-</v>
      </c>
      <c r="I52" s="38" t="str">
        <f>IF(I51=0,"-",E52*E72/I72)</f>
        <v>-</v>
      </c>
      <c r="J52" s="39" t="str">
        <f>IF(J51=0,"-",F52*F72/J72)</f>
        <v>-</v>
      </c>
    </row>
    <row r="53" spans="2:10" ht="15" customHeight="1">
      <c r="B53" s="204" t="s">
        <v>76</v>
      </c>
      <c r="C53" s="132"/>
      <c r="D53" s="132"/>
      <c r="E53" s="132"/>
      <c r="F53" s="132"/>
      <c r="G53" s="132"/>
      <c r="H53" s="132"/>
      <c r="I53" s="132"/>
      <c r="J53" s="133"/>
    </row>
    <row r="54" spans="2:10" ht="15" customHeight="1">
      <c r="B54" s="201" t="s">
        <v>75</v>
      </c>
      <c r="C54" s="162" t="s">
        <v>71</v>
      </c>
      <c r="D54" s="163" t="s">
        <v>71</v>
      </c>
      <c r="E54" s="163" t="s">
        <v>71</v>
      </c>
      <c r="F54" s="164" t="s">
        <v>71</v>
      </c>
      <c r="G54" s="124" t="str">
        <f>IF(C51=0,"-",MIN(I34,C54))</f>
        <v>-</v>
      </c>
      <c r="H54" s="125" t="str">
        <f>IF(D51=0,"-",MIN(I34,D54))</f>
        <v>-</v>
      </c>
      <c r="I54" s="125" t="str">
        <f>IF(E51=0,"-",MIN(D35,E54))</f>
        <v>-</v>
      </c>
      <c r="J54" s="126" t="str">
        <f>IF(F51=0,"-",MIN(D35,F54))</f>
        <v>-</v>
      </c>
    </row>
    <row r="55" spans="2:10" ht="15" customHeight="1">
      <c r="B55" s="202" t="s">
        <v>74</v>
      </c>
      <c r="C55" s="165" t="s">
        <v>71</v>
      </c>
      <c r="D55" s="166" t="s">
        <v>71</v>
      </c>
      <c r="E55" s="166" t="s">
        <v>71</v>
      </c>
      <c r="F55" s="167" t="s">
        <v>71</v>
      </c>
      <c r="G55" s="52" t="str">
        <f>IF(G51=0,"-",(1-G54)*($D$30*$D$34/12.01)/(($D$30*$D$34/12.01)+($I$30*$D$34/32)+((((($D$30*$D$34/12.01)+2*($I$30*$D$34/32))/(1-G54)+0.25*($D$31*$D$34/1.008)-($D$32*$D$34/32)+($I$31*$D$34/28.016)/3.76)/(1/3.76-G54/(1-G54))))))</f>
        <v>-</v>
      </c>
      <c r="H55" s="53" t="str">
        <f>IF(H51=0,"-",(1-H54)*($D$30*$D$34/12.01)/(($D$30*$D$34/12.01)+($I$30*$D$34/32)+((((($D$30*$D$34/12.01)+2*($I$30*$D$34/32))/(1-H54)+0.25*($D$31*$D$34/1.008)-($D$32*$D$34/32)+($I$31*$D$34/28.016)/3.76)/(1/3.76-H54/(1-H54))))))</f>
        <v>-</v>
      </c>
      <c r="I55" s="53" t="str">
        <f>IF(I51=0,"-",(1-I54)*($D$30*$D$34/12.01)/(($D$30*$D$34/12.01)+($I$30*$D$34/32)+((((($D$30*$D$34/12.01)+2*($I$30*$D$34/32))/(1-I54)+0.25*($D$31*$D$34/1.008)-($D$32*$D$34/32)+($I$31*$D$34/28.016)/3.76)/(1/3.76-I54/(1-I54))))))</f>
        <v>-</v>
      </c>
      <c r="J55" s="54" t="str">
        <f>IF(J51=0,"-",(1-J54)*($D$30*$D$34/12.01)/(($D$30*$D$34/12.01)+($I$30*$D$34/32)+((((($D$30*$D$34/12.01)+2*($I$30*$D$34/32))/(1-J54)+0.25*($D$31*$D$34/1.008)-($D$32*$D$34/32)+($I$31*$D$34/28.016)/3.76)/(1/3.76-J54/(1-J54))))))</f>
        <v>-</v>
      </c>
    </row>
    <row r="56" spans="2:10" ht="15" customHeight="1">
      <c r="B56" s="201" t="s">
        <v>73</v>
      </c>
      <c r="C56" s="168" t="s">
        <v>71</v>
      </c>
      <c r="D56" s="169" t="s">
        <v>71</v>
      </c>
      <c r="E56" s="169" t="s">
        <v>71</v>
      </c>
      <c r="F56" s="170" t="s">
        <v>71</v>
      </c>
      <c r="G56" s="383" t="str">
        <f>IF(G51=0,"-",C56)</f>
        <v>-</v>
      </c>
      <c r="H56" s="384" t="str">
        <f>IF(H51=0,"-",D56)</f>
        <v>-</v>
      </c>
      <c r="I56" s="384" t="str">
        <f>IF(I51=0,"-",E56)</f>
        <v>-</v>
      </c>
      <c r="J56" s="385" t="str">
        <f>IF(J51=0,"-",F56)</f>
        <v>-</v>
      </c>
    </row>
    <row r="57" spans="2:10" ht="15" customHeight="1">
      <c r="B57" s="202" t="s">
        <v>72</v>
      </c>
      <c r="C57" s="171" t="s">
        <v>71</v>
      </c>
      <c r="D57" s="172" t="s">
        <v>71</v>
      </c>
      <c r="E57" s="172" t="s">
        <v>71</v>
      </c>
      <c r="F57" s="173" t="s">
        <v>71</v>
      </c>
      <c r="G57" s="55" t="str">
        <f>IF(G51=0,"-",MIN(C57,$I$19+100))</f>
        <v>-</v>
      </c>
      <c r="H57" s="56" t="str">
        <f>IF(H51=0,"-",MIN(D57,$I$19+100))</f>
        <v>-</v>
      </c>
      <c r="I57" s="56" t="str">
        <f>IF(I51=0,"-",MIN(E57,$I$19+100))</f>
        <v>-</v>
      </c>
      <c r="J57" s="57" t="str">
        <f>IF(J51=0,"-",MIN(F57,$I$19+100))</f>
        <v>-</v>
      </c>
    </row>
    <row r="58" spans="2:10" ht="15" customHeight="1">
      <c r="B58" s="201" t="s">
        <v>70</v>
      </c>
      <c r="C58" s="127" t="str">
        <f t="shared" ref="C58:J58" si="0">IF(C51=0,"-",C57-$D$10)</f>
        <v>-</v>
      </c>
      <c r="D58" s="58" t="str">
        <f t="shared" si="0"/>
        <v>-</v>
      </c>
      <c r="E58" s="58" t="str">
        <f t="shared" si="0"/>
        <v>-</v>
      </c>
      <c r="F58" s="128" t="str">
        <f t="shared" si="0"/>
        <v>-</v>
      </c>
      <c r="G58" s="127" t="str">
        <f t="shared" si="0"/>
        <v>-</v>
      </c>
      <c r="H58" s="58" t="str">
        <f t="shared" si="0"/>
        <v>-</v>
      </c>
      <c r="I58" s="58" t="str">
        <f t="shared" si="0"/>
        <v>-</v>
      </c>
      <c r="J58" s="128" t="str">
        <f t="shared" si="0"/>
        <v>-</v>
      </c>
    </row>
    <row r="59" spans="2:10" ht="15" customHeight="1">
      <c r="B59" s="198" t="s">
        <v>69</v>
      </c>
      <c r="C59" s="134"/>
      <c r="D59" s="134"/>
      <c r="E59" s="134"/>
      <c r="F59" s="134"/>
      <c r="G59" s="134"/>
      <c r="H59" s="134"/>
      <c r="I59" s="134"/>
      <c r="J59" s="135"/>
    </row>
    <row r="60" spans="2:10" ht="15" customHeight="1">
      <c r="B60" s="25" t="s">
        <v>68</v>
      </c>
      <c r="C60" s="40" t="str">
        <f>IF(C51=0,"-",C50/$I$33*1000000/60/(1-$D$33))</f>
        <v>-</v>
      </c>
      <c r="D60" s="41" t="str">
        <f t="shared" ref="D60:J60" si="1">IF(D51=0,"-",D50/$I$33*1000000/60/(1-$D$33))</f>
        <v>-</v>
      </c>
      <c r="E60" s="41" t="str">
        <f>IF(E51=0,"-",E50/$I$33*1000000/60/(1-$D$33))</f>
        <v>-</v>
      </c>
      <c r="F60" s="42" t="str">
        <f t="shared" si="1"/>
        <v>-</v>
      </c>
      <c r="G60" s="40" t="str">
        <f t="shared" si="1"/>
        <v>-</v>
      </c>
      <c r="H60" s="41" t="str">
        <f>IF(H51=0,"-",H50/$I$33*1000000/60/(1-$D$33))</f>
        <v>-</v>
      </c>
      <c r="I60" s="41" t="str">
        <f t="shared" si="1"/>
        <v>-</v>
      </c>
      <c r="J60" s="42" t="str">
        <f t="shared" si="1"/>
        <v>-</v>
      </c>
    </row>
    <row r="61" spans="2:10" ht="15" customHeight="1">
      <c r="B61" s="203" t="s">
        <v>67</v>
      </c>
      <c r="C61" s="43" t="str">
        <f>IF(C51=0,"-",C60*4.76*28.96/$D$34*((1-C54)*(($D$30*$D$34/12.01)-($D$32*$D$34/32)+0.25*($D$31*$D$34/1.008))+C54*(($D$30*$D$34/12.01)+2*($I$30*$D$34/64)))/(1-2.76*C54))</f>
        <v>-</v>
      </c>
      <c r="D61" s="44" t="str">
        <f t="shared" ref="D61:I61" si="2">IF(D51=0,"-",D60*4.76*28.96/$D$34*((1-D54)*(($D$30*$D$34/12.01)-($D$32*$D$34/32)+0.25*($D$31*$D$34/1.008))+D54*(($D$30*$D$34/12.01)+2*($I$30*$D$34/64)))/(1-2.76*D54))</f>
        <v>-</v>
      </c>
      <c r="E61" s="44" t="str">
        <f t="shared" si="2"/>
        <v>-</v>
      </c>
      <c r="F61" s="45" t="str">
        <f t="shared" si="2"/>
        <v>-</v>
      </c>
      <c r="G61" s="43" t="str">
        <f>IF(G51=0,"-",G60*4.76*28.96/$D$34*((1-G54)*(($D$30*$D$34/12.01)-($D$32*$D$34/32)+0.25*($D$31*$D$34/1.008))+G54*(($D$30*$D$34/12.01)+2*($I$30*$D$34/64)))/(1-2.76*G54))</f>
        <v>-</v>
      </c>
      <c r="H61" s="44" t="str">
        <f t="shared" si="2"/>
        <v>-</v>
      </c>
      <c r="I61" s="44" t="str">
        <f t="shared" si="2"/>
        <v>-</v>
      </c>
      <c r="J61" s="45" t="str">
        <f>IF(J51=0,"-",J60*4.76*28.96/$D$34*((1-J54)*(($D$30*$D$34/12.01)-($D$32*$D$34/32)+0.25*($D$31*$D$34/1.008))+J54*(($D$30*$D$34/12.01)+2*($I$30*$D$34/64)))/(1-2.76*J54))</f>
        <v>-</v>
      </c>
    </row>
    <row r="62" spans="2:10" ht="15" customHeight="1">
      <c r="B62" s="198" t="s">
        <v>66</v>
      </c>
      <c r="C62" s="136"/>
      <c r="D62" s="136"/>
      <c r="E62" s="136"/>
      <c r="F62" s="136"/>
      <c r="G62" s="136"/>
      <c r="H62" s="136"/>
      <c r="I62" s="136"/>
      <c r="J62" s="137"/>
    </row>
    <row r="63" spans="2:10" ht="15" customHeight="1">
      <c r="B63" s="201" t="s">
        <v>65</v>
      </c>
      <c r="C63" s="129" t="str">
        <f>IF(C51=0,"-",(44.01*C55+32*C54+28.02*(1-C55-C54-C56*0.000001)+28.01*0.000001*C56)/(12.01*(C56*0.000001+C55))*($D$30+$I$30*12.01/32.07)*0.24*C58/$I$33)</f>
        <v>-</v>
      </c>
      <c r="D63" s="130" t="str">
        <f t="shared" ref="D63:J63" si="3">IF(D51=0,"-",(44.01*D55+32*D54+28.02*(1-D55-D54-D56*0.000001)+28.01*0.000001*D56)/(12.01*(D56*0.000001+D55))*($D$30+$I$30*12.01/32.07)*0.24*D58/$I$33)</f>
        <v>-</v>
      </c>
      <c r="E63" s="130" t="str">
        <f t="shared" si="3"/>
        <v>-</v>
      </c>
      <c r="F63" s="131" t="str">
        <f t="shared" si="3"/>
        <v>-</v>
      </c>
      <c r="G63" s="129" t="str">
        <f t="shared" si="3"/>
        <v>-</v>
      </c>
      <c r="H63" s="130" t="str">
        <f t="shared" si="3"/>
        <v>-</v>
      </c>
      <c r="I63" s="130" t="str">
        <f>IF(I51=0,"-",(44.01*I55+32*I54+28.02*(1-I55-I54-I56*0.000001)+28.01*0.000001*I56)/(12.01*(I56*0.000001+I55))*($D$30+$I$30*12.01/32.07)*0.24*I58/$I$33)</f>
        <v>-</v>
      </c>
      <c r="J63" s="131" t="str">
        <f t="shared" si="3"/>
        <v>-</v>
      </c>
    </row>
    <row r="64" spans="2:10" ht="15" customHeight="1">
      <c r="B64" s="202" t="s">
        <v>64</v>
      </c>
      <c r="C64" s="46" t="str">
        <f>IF(C51=0,"-",8.936*(0.445*C57+1060.7-($D$10-32))*$D$31/$I$33)</f>
        <v>-</v>
      </c>
      <c r="D64" s="47" t="str">
        <f t="shared" ref="D64:J64" si="4">IF(D51=0,"-",8.936*(0.445*D57+1060.7-($D$10-32))*$D$31/$I$33)</f>
        <v>-</v>
      </c>
      <c r="E64" s="47" t="str">
        <f t="shared" si="4"/>
        <v>-</v>
      </c>
      <c r="F64" s="48" t="str">
        <f t="shared" si="4"/>
        <v>-</v>
      </c>
      <c r="G64" s="46" t="str">
        <f t="shared" si="4"/>
        <v>-</v>
      </c>
      <c r="H64" s="47" t="str">
        <f t="shared" si="4"/>
        <v>-</v>
      </c>
      <c r="I64" s="47" t="str">
        <f>IF(I51=0,"-",8.936*(0.445*I57+1060.7-($D$10-32))*$D$31/$I$33)</f>
        <v>-</v>
      </c>
      <c r="J64" s="48" t="str">
        <f t="shared" si="4"/>
        <v>-</v>
      </c>
    </row>
    <row r="65" spans="2:10" ht="15" customHeight="1">
      <c r="B65" s="201" t="s">
        <v>63</v>
      </c>
      <c r="C65" s="129" t="str">
        <f>IF(C51=0,"-",IF($D$33=0,0,($D$33*(0.445*C57+1060.7-($D$10-32)))/$I$33))</f>
        <v>-</v>
      </c>
      <c r="D65" s="130" t="str">
        <f t="shared" ref="D65:J65" si="5">IF(D51=0,"-",IF($D$33=0,0,($D$33*(0.445*D57+1060.7-($D$10-32)))/$I$33))</f>
        <v>-</v>
      </c>
      <c r="E65" s="130" t="str">
        <f t="shared" si="5"/>
        <v>-</v>
      </c>
      <c r="F65" s="131" t="str">
        <f t="shared" si="5"/>
        <v>-</v>
      </c>
      <c r="G65" s="129" t="str">
        <f t="shared" si="5"/>
        <v>-</v>
      </c>
      <c r="H65" s="130" t="str">
        <f t="shared" si="5"/>
        <v>-</v>
      </c>
      <c r="I65" s="130" t="str">
        <f>IF(I51=0,"-",IF($D$33=0,0,($D$33*(0.445*I57+1060.7-($D$10-32)))/$I$33))</f>
        <v>-</v>
      </c>
      <c r="J65" s="131" t="str">
        <f t="shared" si="5"/>
        <v>-</v>
      </c>
    </row>
    <row r="66" spans="2:10" ht="15" customHeight="1">
      <c r="B66" s="202" t="s">
        <v>62</v>
      </c>
      <c r="C66" s="46" t="str">
        <f>IF(C51=0,"-",C56*0.000001/(C56*0.000001+C55)*10160*$D$30/$I$33)</f>
        <v>-</v>
      </c>
      <c r="D66" s="47" t="str">
        <f t="shared" ref="D66:J66" si="6">IF(D51=0,"-",D56*0.000001/(D56*0.000001+D55)*10160*$D$30/$I$33)</f>
        <v>-</v>
      </c>
      <c r="E66" s="47" t="str">
        <f t="shared" si="6"/>
        <v>-</v>
      </c>
      <c r="F66" s="48" t="str">
        <f t="shared" si="6"/>
        <v>-</v>
      </c>
      <c r="G66" s="46" t="str">
        <f t="shared" si="6"/>
        <v>-</v>
      </c>
      <c r="H66" s="47" t="str">
        <f t="shared" si="6"/>
        <v>-</v>
      </c>
      <c r="I66" s="47" t="str">
        <f t="shared" si="6"/>
        <v>-</v>
      </c>
      <c r="J66" s="48" t="str">
        <f t="shared" si="6"/>
        <v>-</v>
      </c>
    </row>
    <row r="67" spans="2:10" ht="15" customHeight="1">
      <c r="B67" s="201" t="s">
        <v>61</v>
      </c>
      <c r="C67" s="129" t="str">
        <f>IF(C51=0,"-",$I$32)</f>
        <v>-</v>
      </c>
      <c r="D67" s="130" t="str">
        <f t="shared" ref="D67:J67" si="7">IF(D51=0,"-",$I$32)</f>
        <v>-</v>
      </c>
      <c r="E67" s="130" t="str">
        <f t="shared" si="7"/>
        <v>-</v>
      </c>
      <c r="F67" s="131" t="str">
        <f t="shared" si="7"/>
        <v>-</v>
      </c>
      <c r="G67" s="129" t="str">
        <f t="shared" si="7"/>
        <v>-</v>
      </c>
      <c r="H67" s="130" t="str">
        <f t="shared" si="7"/>
        <v>-</v>
      </c>
      <c r="I67" s="130" t="str">
        <f t="shared" si="7"/>
        <v>-</v>
      </c>
      <c r="J67" s="131" t="str">
        <f t="shared" si="7"/>
        <v>-</v>
      </c>
    </row>
    <row r="68" spans="2:10" ht="15" customHeight="1">
      <c r="B68" s="202" t="s">
        <v>60</v>
      </c>
      <c r="C68" s="46" t="str">
        <f>IF(C51=0,"-",(0.445*C57+1060.7-($D$10-32))*$D$12*(C61/C60)/$I$33)</f>
        <v>-</v>
      </c>
      <c r="D68" s="47" t="str">
        <f t="shared" ref="D68:J68" si="8">IF(D51=0,"-",(0.445*D57+1060.7-($D$10-32))*$D$12*(D61/D60)/$I$33)</f>
        <v>-</v>
      </c>
      <c r="E68" s="47" t="str">
        <f t="shared" si="8"/>
        <v>-</v>
      </c>
      <c r="F68" s="48" t="str">
        <f t="shared" si="8"/>
        <v>-</v>
      </c>
      <c r="G68" s="46" t="str">
        <f t="shared" si="8"/>
        <v>-</v>
      </c>
      <c r="H68" s="47" t="str">
        <f t="shared" si="8"/>
        <v>-</v>
      </c>
      <c r="I68" s="47" t="str">
        <f t="shared" si="8"/>
        <v>-</v>
      </c>
      <c r="J68" s="48" t="str">
        <f t="shared" si="8"/>
        <v>-</v>
      </c>
    </row>
    <row r="69" spans="2:10" ht="15" customHeight="1">
      <c r="B69" s="201" t="s">
        <v>59</v>
      </c>
      <c r="C69" s="129" t="str">
        <f t="shared" ref="C69:I69" si="9">IF(C51=0,"-",1-C63-C64-C65-C66-C67-C68)</f>
        <v>-</v>
      </c>
      <c r="D69" s="130" t="str">
        <f t="shared" si="9"/>
        <v>-</v>
      </c>
      <c r="E69" s="130" t="str">
        <f t="shared" si="9"/>
        <v>-</v>
      </c>
      <c r="F69" s="131" t="str">
        <f t="shared" si="9"/>
        <v>-</v>
      </c>
      <c r="G69" s="129" t="str">
        <f>IF(G51=0,"-",1-G63-G64-G65-G66-G67-G68)</f>
        <v>-</v>
      </c>
      <c r="H69" s="130" t="str">
        <f t="shared" si="9"/>
        <v>-</v>
      </c>
      <c r="I69" s="130" t="str">
        <f t="shared" si="9"/>
        <v>-</v>
      </c>
      <c r="J69" s="131" t="str">
        <f>IF(J51=0,"-",1-J63-J64-J65-J66-J67-J68)</f>
        <v>-</v>
      </c>
    </row>
    <row r="70" spans="2:10" ht="15" customHeight="1">
      <c r="B70" s="202" t="s">
        <v>98</v>
      </c>
      <c r="C70" s="46" t="str">
        <f t="shared" ref="C70:J70" si="10">IF(C51=0,"-",(0.359+18.2842/$I$6-7.1088/$I$6^2)/100/C49)</f>
        <v>-</v>
      </c>
      <c r="D70" s="47" t="str">
        <f t="shared" si="10"/>
        <v>-</v>
      </c>
      <c r="E70" s="47" t="str">
        <f t="shared" si="10"/>
        <v>-</v>
      </c>
      <c r="F70" s="48" t="str">
        <f t="shared" si="10"/>
        <v>-</v>
      </c>
      <c r="G70" s="46" t="str">
        <f t="shared" si="10"/>
        <v>-</v>
      </c>
      <c r="H70" s="47" t="str">
        <f t="shared" si="10"/>
        <v>-</v>
      </c>
      <c r="I70" s="47" t="str">
        <f t="shared" si="10"/>
        <v>-</v>
      </c>
      <c r="J70" s="48" t="str">
        <f t="shared" si="10"/>
        <v>-</v>
      </c>
    </row>
    <row r="71" spans="2:10" ht="15" customHeight="1">
      <c r="B71" s="201" t="s">
        <v>58</v>
      </c>
      <c r="C71" s="129" t="s">
        <v>71</v>
      </c>
      <c r="D71" s="130" t="s">
        <v>71</v>
      </c>
      <c r="E71" s="130" t="s">
        <v>71</v>
      </c>
      <c r="F71" s="131" t="str">
        <f>IF(F51=0,"-",D61*0.252*D11*(I19-D10)*2*D7/D6*(F49&lt;I7)/(1000000*F50))</f>
        <v>-</v>
      </c>
      <c r="G71" s="129" t="s">
        <v>71</v>
      </c>
      <c r="H71" s="130" t="s">
        <v>71</v>
      </c>
      <c r="I71" s="130" t="s">
        <v>71</v>
      </c>
      <c r="J71" s="131" t="str">
        <f>IF(J51=0,"-",H61*0.252*D11*(I19-D10)*2*D7/D6*(J49&lt;I7)/(1000000*J50))</f>
        <v>-</v>
      </c>
    </row>
    <row r="72" spans="2:10" ht="15" customHeight="1">
      <c r="B72" s="205" t="s">
        <v>57</v>
      </c>
      <c r="C72" s="49" t="str">
        <f>IF(C51=0,"-",IF(C69-C70&lt;0,0,C69-C70))</f>
        <v>-</v>
      </c>
      <c r="D72" s="50" t="str">
        <f>IF(D51=0,"-",IF(D69-D70&lt;0,0,D69-D70))</f>
        <v>-</v>
      </c>
      <c r="E72" s="50" t="str">
        <f>IF(E51=0,"-",IF(E69-E70&lt;0,0,E69-E70))</f>
        <v>-</v>
      </c>
      <c r="F72" s="51" t="str">
        <f>IF(F51=0,"-",IF(F69-F70-F71&lt;0,0,F69-F70-F71))</f>
        <v>-</v>
      </c>
      <c r="G72" s="49" t="str">
        <f>IF(G51=0,"-",IF(G69-G70&lt;0,0,G69-G70))</f>
        <v>-</v>
      </c>
      <c r="H72" s="50" t="str">
        <f>IF(H51=0,"-",IF(H69-H70&lt;0,0,H69-H70))</f>
        <v>-</v>
      </c>
      <c r="I72" s="50" t="str">
        <f>IF(I51=0,"-",IF(I69-I70&lt;0,0,I69-I70))</f>
        <v>-</v>
      </c>
      <c r="J72" s="51" t="str">
        <f>IF(J51=0,"-",IF(J69-J70-J71&lt;0,0,J69-J70-J71))</f>
        <v>-</v>
      </c>
    </row>
    <row r="75" spans="2:10">
      <c r="B75" s="278" t="s">
        <v>142</v>
      </c>
    </row>
    <row r="77" spans="2:10">
      <c r="B77" s="447" t="s">
        <v>227</v>
      </c>
      <c r="C77" s="447"/>
      <c r="D77" s="447"/>
      <c r="E77" s="447"/>
      <c r="F77" s="447"/>
      <c r="G77" s="447"/>
      <c r="H77" s="447"/>
      <c r="I77" s="447"/>
      <c r="J77" s="447"/>
    </row>
    <row r="78" spans="2:10">
      <c r="B78" s="447"/>
      <c r="C78" s="447"/>
      <c r="D78" s="447"/>
      <c r="E78" s="447"/>
      <c r="F78" s="447"/>
      <c r="G78" s="447"/>
      <c r="H78" s="447"/>
      <c r="I78" s="447"/>
      <c r="J78" s="447"/>
    </row>
    <row r="79" spans="2:10">
      <c r="B79" s="447"/>
      <c r="C79" s="447"/>
      <c r="D79" s="447"/>
      <c r="E79" s="447"/>
      <c r="F79" s="447"/>
      <c r="G79" s="447"/>
      <c r="H79" s="447"/>
      <c r="I79" s="447"/>
      <c r="J79" s="447"/>
    </row>
  </sheetData>
  <sheetProtection password="E0B2" sheet="1" objects="1" scenarios="1" selectLockedCells="1"/>
  <mergeCells count="63">
    <mergeCell ref="B77:J79"/>
    <mergeCell ref="B35:C35"/>
    <mergeCell ref="B37:J37"/>
    <mergeCell ref="B38:C38"/>
    <mergeCell ref="F38:H38"/>
    <mergeCell ref="B39:C39"/>
    <mergeCell ref="F39:H39"/>
    <mergeCell ref="A43:K43"/>
    <mergeCell ref="B45:J45"/>
    <mergeCell ref="B46:B47"/>
    <mergeCell ref="C46:F46"/>
    <mergeCell ref="G46:J46"/>
    <mergeCell ref="B32:C32"/>
    <mergeCell ref="F32:H32"/>
    <mergeCell ref="B33:C33"/>
    <mergeCell ref="F33:H33"/>
    <mergeCell ref="B34:C34"/>
    <mergeCell ref="F34:H34"/>
    <mergeCell ref="B31:C31"/>
    <mergeCell ref="F31:H31"/>
    <mergeCell ref="F24:H24"/>
    <mergeCell ref="B25:C25"/>
    <mergeCell ref="F25:H25"/>
    <mergeCell ref="B26:C26"/>
    <mergeCell ref="F26:H26"/>
    <mergeCell ref="B28:J28"/>
    <mergeCell ref="B29:C29"/>
    <mergeCell ref="D29:E29"/>
    <mergeCell ref="F29:H29"/>
    <mergeCell ref="B30:C30"/>
    <mergeCell ref="F30:H30"/>
    <mergeCell ref="B23:J23"/>
    <mergeCell ref="B14:J14"/>
    <mergeCell ref="B15:C15"/>
    <mergeCell ref="F15:H15"/>
    <mergeCell ref="B16:C16"/>
    <mergeCell ref="F16:H16"/>
    <mergeCell ref="B18:J18"/>
    <mergeCell ref="F19:H19"/>
    <mergeCell ref="B20:C20"/>
    <mergeCell ref="F20:H20"/>
    <mergeCell ref="B21:C21"/>
    <mergeCell ref="F21:H21"/>
    <mergeCell ref="B12:C12"/>
    <mergeCell ref="F12:H12"/>
    <mergeCell ref="B5:C5"/>
    <mergeCell ref="D5:E5"/>
    <mergeCell ref="F5:H5"/>
    <mergeCell ref="B6:C6"/>
    <mergeCell ref="F6:H6"/>
    <mergeCell ref="B7:C7"/>
    <mergeCell ref="F7:H7"/>
    <mergeCell ref="B9:J9"/>
    <mergeCell ref="B10:C10"/>
    <mergeCell ref="F10:H10"/>
    <mergeCell ref="B11:C11"/>
    <mergeCell ref="F11:H11"/>
    <mergeCell ref="A1:K1"/>
    <mergeCell ref="B3:J3"/>
    <mergeCell ref="B4:C4"/>
    <mergeCell ref="D4:E4"/>
    <mergeCell ref="F4:H4"/>
    <mergeCell ref="I4:J4"/>
  </mergeCells>
  <dataValidations count="9">
    <dataValidation type="list" allowBlank="1" showInputMessage="1" showErrorMessage="1" sqref="D29">
      <formula1>'Fuel Properties'!A7:A13</formula1>
    </dataValidation>
    <dataValidation type="list" allowBlank="1" showInputMessage="1" showErrorMessage="1" sqref="D5">
      <formula1>"Full Modulating,Low-High-Off,On-Off"</formula1>
    </dataValidation>
    <dataValidation allowBlank="1" showInputMessage="1" showErrorMessage="1" prompt="Default value is 30 seconds" sqref="D7"/>
    <dataValidation allowBlank="1" showInputMessage="1" showErrorMessage="1" prompt="Default Value is 20%" sqref="I7"/>
    <dataValidation allowBlank="1" showInputMessage="1" showErrorMessage="1" prompt="Default Value is 80F" sqref="D10"/>
    <dataValidation allowBlank="1" showInputMessage="1" showErrorMessage="1" prompt="Default Value is 50F" sqref="I10"/>
    <dataValidation allowBlank="1" showInputMessage="1" showErrorMessage="1" prompt="Default Value is 75%" sqref="D11"/>
    <dataValidation allowBlank="1" showInputMessage="1" showErrorMessage="1" prompt="Default Value is 10 psi" sqref="D15"/>
    <dataValidation allowBlank="1" showInputMessage="1" showErrorMessage="1" prompt="Default Value is 0.2 ft3/Boiler Hp" sqref="I15"/>
  </dataValidations>
  <printOptions horizontalCentered="1"/>
  <pageMargins left="0.2" right="0.2" top="0.75" bottom="0.75" header="0.3" footer="0.3"/>
  <pageSetup orientation="portrait" r:id="rId1"/>
  <rowBreaks count="1" manualBreakCount="1">
    <brk id="42" max="10" man="1"/>
  </rowBreaks>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Narrative1</vt:lpstr>
      <vt:lpstr>Narrative2</vt:lpstr>
      <vt:lpstr>Calc1</vt:lpstr>
      <vt:lpstr>Calc2</vt:lpstr>
      <vt:lpstr>Boiler1</vt:lpstr>
      <vt:lpstr>Boiler2</vt:lpstr>
      <vt:lpstr>Boiler3</vt:lpstr>
      <vt:lpstr>Boiler4</vt:lpstr>
      <vt:lpstr>Boiler5</vt:lpstr>
      <vt:lpstr>Boiler6</vt:lpstr>
      <vt:lpstr>Boiler7</vt:lpstr>
      <vt:lpstr>Boiler8</vt:lpstr>
      <vt:lpstr>Fuel Properties</vt:lpstr>
      <vt:lpstr>Steam Properties</vt:lpstr>
      <vt:lpstr>Boiler1!Print_Area</vt:lpstr>
      <vt:lpstr>Boiler2!Print_Area</vt:lpstr>
      <vt:lpstr>Boiler3!Print_Area</vt:lpstr>
      <vt:lpstr>Boiler4!Print_Area</vt:lpstr>
      <vt:lpstr>Boiler5!Print_Area</vt:lpstr>
      <vt:lpstr>Boiler6!Print_Area</vt:lpstr>
      <vt:lpstr>Boiler7!Print_Area</vt:lpstr>
      <vt:lpstr>Boiler8!Print_Area</vt:lpstr>
      <vt:lpstr>Calc1!Print_Area</vt:lpstr>
      <vt:lpstr>Calc2!Print_Area</vt:lpstr>
      <vt:lpstr>Narrative1!Print_Area</vt:lpstr>
      <vt:lpstr>Narrative2!Print_Area</vt:lpstr>
    </vt:vector>
  </TitlesOfParts>
  <Company>Industrial and Manufacturing Engineering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jonesmik</dc:creator>
  <cp:lastModifiedBy>jonesmik</cp:lastModifiedBy>
  <cp:lastPrinted>2010-07-12T23:33:02Z</cp:lastPrinted>
  <dcterms:created xsi:type="dcterms:W3CDTF">2010-07-09T22:43:38Z</dcterms:created>
  <dcterms:modified xsi:type="dcterms:W3CDTF">2010-08-07T19:23:13Z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eaks" linkTarget="Prop_leaks">
    <vt:r8>1.08359897603871E+292</vt:r8>
  </property>
  <property fmtid="{D5CDD505-2E9C-101B-9397-08002B2CF9AE}" pid="3" name="pipe_loss" linkTarget="Prop_pipe_loss">
    <vt:r8>0</vt:r8>
  </property>
  <property fmtid="{D5CDD505-2E9C-101B-9397-08002B2CF9AE}" pid="4" name="press" linkTarget="Prop_press">
    <vt:r8>0</vt:r8>
  </property>
  <property fmtid="{D5CDD505-2E9C-101B-9397-08002B2CF9AE}" pid="5" name="press_abs" linkTarget="Prop_press_abs">
    <vt:r8>0</vt:r8>
  </property>
  <property fmtid="{D5CDD505-2E9C-101B-9397-08002B2CF9AE}" pid="6" name="steam_temp" linkTarget="Prop_steam_temp">
    <vt:r8>0</vt:r8>
  </property>
  <property fmtid="{D5CDD505-2E9C-101B-9397-08002B2CF9AE}" pid="7" name="traps" linkTarget="prop_traps">
    <vt:r8>0</vt:r8>
  </property>
  <property fmtid="{D5CDD505-2E9C-101B-9397-08002B2CF9AE}" pid="8" name="Use" linkTarget="Prop_Use">
    <vt:r8>0</vt:r8>
  </property>
</Properties>
</file>